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0" i="4"/>
  <c r="U11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V9"/>
  <c r="O8"/>
  <c r="D7"/>
  <c r="A4"/>
  <c r="L3"/>
  <c r="A1"/>
  <c r="C6" i="3"/>
  <c r="C7" s="1"/>
  <c r="B6"/>
  <c r="C3"/>
  <c r="A1"/>
  <c r="I36" i="2"/>
  <c r="H36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2"/>
  <c r="A2"/>
  <c r="A2" i="3" s="1"/>
  <c r="A1" i="2"/>
  <c r="A5" i="1"/>
  <c r="A2" i="4" s="1"/>
  <c r="A4" i="1"/>
  <c r="G13" i="4" l="1"/>
  <c r="G16"/>
  <c r="G18"/>
  <c r="G20"/>
  <c r="G22"/>
  <c r="E13"/>
  <c r="E16"/>
  <c r="E18"/>
  <c r="E20"/>
  <c r="E22"/>
  <c r="C11"/>
  <c r="D11"/>
  <c r="H11"/>
  <c r="F11"/>
  <c r="B11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G39" l="1"/>
  <c r="E39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C37"/>
  <c r="I37" s="1"/>
  <c r="K37" s="1"/>
  <c r="L37" s="1"/>
  <c r="C35"/>
  <c r="C33"/>
  <c r="I33" s="1"/>
  <c r="K33" s="1"/>
  <c r="L33" s="1"/>
  <c r="C31"/>
  <c r="C29"/>
  <c r="I29" s="1"/>
  <c r="K29" s="1"/>
  <c r="L29" s="1"/>
  <c r="C27"/>
  <c r="C25"/>
  <c r="I25" s="1"/>
  <c r="K25" s="1"/>
  <c r="L25" s="1"/>
  <c r="C23"/>
  <c r="C21"/>
  <c r="I21" s="1"/>
  <c r="K21" s="1"/>
  <c r="L21" s="1"/>
  <c r="C19"/>
  <c r="C17"/>
  <c r="I17" s="1"/>
  <c r="K17" s="1"/>
  <c r="L17" s="1"/>
  <c r="C15"/>
  <c r="C14"/>
  <c r="I14" s="1"/>
  <c r="K14" s="1"/>
  <c r="L14" s="1"/>
  <c r="C38"/>
  <c r="C36"/>
  <c r="I36" s="1"/>
  <c r="K36" s="1"/>
  <c r="L36" s="1"/>
  <c r="C34"/>
  <c r="C32"/>
  <c r="I32" s="1"/>
  <c r="K32" s="1"/>
  <c r="L32" s="1"/>
  <c r="C30"/>
  <c r="C28"/>
  <c r="I28" s="1"/>
  <c r="K28" s="1"/>
  <c r="L28" s="1"/>
  <c r="C26"/>
  <c r="C24"/>
  <c r="I24" s="1"/>
  <c r="K24" s="1"/>
  <c r="L24" s="1"/>
  <c r="C22"/>
  <c r="C20"/>
  <c r="I20" s="1"/>
  <c r="K20" s="1"/>
  <c r="L20" s="1"/>
  <c r="C18"/>
  <c r="C16"/>
  <c r="I16" s="1"/>
  <c r="K16" s="1"/>
  <c r="L16" s="1"/>
  <c r="C13"/>
  <c r="I18" l="1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16"/>
  <c r="S16" s="1"/>
  <c r="Q20"/>
  <c r="S20" s="1"/>
  <c r="Q24"/>
  <c r="S24" s="1"/>
  <c r="Q28"/>
  <c r="S28" s="1"/>
  <c r="Q32"/>
  <c r="S32" s="1"/>
  <c r="Q36"/>
  <c r="S36" s="1"/>
  <c r="Q14"/>
  <c r="S14"/>
  <c r="Q17"/>
  <c r="S17"/>
  <c r="Q21"/>
  <c r="S21"/>
  <c r="Q25"/>
  <c r="S25"/>
  <c r="Q29"/>
  <c r="S29"/>
  <c r="Q33"/>
  <c r="S33"/>
  <c r="Q37"/>
  <c r="S37"/>
  <c r="H39"/>
  <c r="B39"/>
  <c r="D39"/>
  <c r="F39"/>
  <c r="C39"/>
  <c r="I13"/>
  <c r="Q18"/>
  <c r="S18" s="1"/>
  <c r="Q22"/>
  <c r="S22" s="1"/>
  <c r="Q26"/>
  <c r="S26" s="1"/>
  <c r="Q30"/>
  <c r="S30" s="1"/>
  <c r="Q34"/>
  <c r="S34" s="1"/>
  <c r="Q38"/>
  <c r="S38" s="1"/>
  <c r="Q15"/>
  <c r="S15"/>
  <c r="Q19"/>
  <c r="S19"/>
  <c r="Q23"/>
  <c r="S23"/>
  <c r="Q27"/>
  <c r="S27"/>
  <c r="Q31"/>
  <c r="S31"/>
  <c r="Q35"/>
  <c r="S35"/>
  <c r="I39" l="1"/>
  <c r="K39" s="1"/>
  <c r="L39" s="1"/>
  <c r="K13"/>
  <c r="L13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<sst xmlns="http://schemas.openxmlformats.org/spreadsheetml/2006/main" count="219" uniqueCount="107">
  <si>
    <t>Massgebendes quellenbesteuertes</t>
  </si>
  <si>
    <t>Einkommen (QS)</t>
  </si>
  <si>
    <t>Produktion</t>
  </si>
  <si>
    <t>Umgebung</t>
  </si>
  <si>
    <t>Typ</t>
  </si>
  <si>
    <t>Simulation</t>
  </si>
  <si>
    <t>WS</t>
  </si>
  <si>
    <t>FA_2012_20120430_alpha0.7</t>
  </si>
  <si>
    <t>SWS</t>
  </si>
  <si>
    <t>RA_2012_20120430_alpha0.7_2Versuch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</si>
  <si>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</si>
  <si>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</si>
  <si>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</si>
  <si>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</si>
  <si>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</si>
  <si>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</si>
  <si>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</si>
  <si>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</si>
  <si>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</si>
  <si>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</si>
  <si>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</si>
  <si>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</si>
  <si>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</si>
  <si>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</si>
  <si>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</si>
  <si>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</si>
  <si>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</si>
  <si>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</si>
  <si>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</si>
  <si>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</si>
  <si>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</si>
  <si>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</si>
  <si>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</si>
  <si>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</si>
  <si>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</si>
  <si>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</si>
  <si>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</si>
  <si>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</si>
  <si>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</si>
  <si>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</si>
  <si>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</si>
  <si>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</si>
  <si>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</si>
  <si>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</si>
  <si>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</si>
  <si>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</si>
  <si>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</si>
  <si>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</si>
  <si>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</si>
  <si>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</si>
  <si>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</si>
  <si>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</si>
  <si>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</si>
  <si>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</si>
  <si>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</si>
  <si>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</si>
  <si>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</si>
  <si>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</si>
  <si>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</si>
  <si>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</si>
  <si>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</si>
  <si>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</si>
  <si>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</si>
  <si>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</si>
  <si>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</si>
  <si>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</si>
  <si>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</si>
  <si>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</si>
  <si>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</si>
  <si>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</si>
  <si>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</si>
  <si>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</si>
  <si>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</si>
  <si>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</si>
  <si>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</si>
  <si>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</si>
  <si>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</si>
  <si>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</si>
  <si>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</si>
  <si>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</si>
  <si>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</si>
  <si>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</si>
  <si>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</si>
  <si>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</si>
  <si>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</si>
  <si>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</si>
  <si>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</si>
  <si>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</si>
  <si>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</si>
  <si>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</si>
  <si>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</si>
  <si>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</si>
  <si>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</si>
  <si>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</si>
  <si>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</si>
  <si>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</si>
  <si>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</si>
  <si>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</si>
  <si>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</si>
  <si>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</si>
  <si>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</si>
  <si>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</si>
  <si>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</si>
  <si>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</si>
  <si>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</si>
  <si>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</si>
  <si>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t>* Korrektur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</si>
</sst>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25" fillId="2" borderId="20" xfId="0" applyFont="1" applyFill="1" applyBorder="1"/>
    <xf numFmtId="0" fontId="20" fillId="0" borderId="0" xfId="0" applyFont="1" applyFill="1"/>
    <xf numFmtId="3" fontId="20" fillId="2" borderId="8" xfId="0" applyNumberFormat="1" applyFont="1" applyFill="1" applyBorder="1"/>
    <xf numFmtId="3" fontId="20" fillId="2" borderId="30" xfId="0" applyNumberFormat="1" applyFont="1" applyFill="1" applyBorder="1"/>
    <xf numFmtId="3" fontId="24" fillId="2" borderId="31" xfId="0" applyNumberFormat="1" applyFont="1" applyFill="1" applyBorder="1"/>
    <xf numFmtId="0" fontId="2" fillId="0" borderId="15" xfId="0" applyFont="1" applyFill="1" applyBorder="1"/>
    <xf numFmtId="164" fontId="27" fillId="2" borderId="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6" t="s">
        <v>0</v>
      </c>
      <c r="B1" s="196"/>
      <c r="C1" s="196"/>
      <c r="D1" s="196"/>
      <c r="E1" s="2"/>
    </row>
    <row r="2" spans="1:5" ht="27.75" customHeight="1">
      <c r="A2" s="196" t="s">
        <v>1</v>
      </c>
      <c r="B2" s="196"/>
      <c r="C2" s="196"/>
      <c r="D2" s="196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7" t="str">
        <f>"Bemessungsjahr "&amp;C31</f>
        <v>Bemessungsjahr 2007</v>
      </c>
      <c r="B4" s="197"/>
      <c r="C4" s="197"/>
      <c r="D4" s="197"/>
      <c r="E4" s="4"/>
    </row>
    <row r="5" spans="1:5" ht="18" customHeight="1">
      <c r="A5" s="197" t="str">
        <f>"Referenzjahr "&amp;C30</f>
        <v>Referenzjahr 2012</v>
      </c>
      <c r="B5" s="197"/>
      <c r="C5" s="197"/>
      <c r="D5" s="197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2012</v>
      </c>
    </row>
    <row r="31" spans="2:3">
      <c r="B31" s="10" t="s">
        <v>11</v>
      </c>
      <c r="C31" s="11">
        <v>2007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2007</v>
      </c>
      <c r="B1" s="13"/>
      <c r="C1" s="13"/>
      <c r="J1" s="14"/>
    </row>
    <row r="2" spans="1:10" ht="31.5" customHeight="1">
      <c r="A2" s="15" t="str">
        <f>"Referenzjahr "&amp;Info!C30</f>
        <v>Referenzjahr 2012</v>
      </c>
      <c r="B2" s="16"/>
      <c r="C2" s="16"/>
      <c r="D2" s="17"/>
      <c r="J2" s="18" t="str">
        <f>Info!C28</f>
        <v>FA_2012_20120430_alpha0.7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200"/>
      <c r="B6" s="205" t="s">
        <v>31</v>
      </c>
      <c r="C6" s="207" t="s">
        <v>32</v>
      </c>
      <c r="D6" s="202" t="s">
        <v>33</v>
      </c>
      <c r="E6" s="203"/>
      <c r="F6" s="203"/>
      <c r="G6" s="203"/>
      <c r="H6" s="204"/>
      <c r="I6" s="209" t="s">
        <v>34</v>
      </c>
      <c r="J6" s="198" t="s">
        <v>35</v>
      </c>
    </row>
    <row r="7" spans="1:10" ht="45.75" customHeight="1">
      <c r="A7" s="201"/>
      <c r="B7" s="206"/>
      <c r="C7" s="208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10"/>
      <c r="J7" s="199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3603544315</v>
      </c>
      <c r="C10" s="52">
        <v>10787458</v>
      </c>
      <c r="D10" s="53">
        <v>0</v>
      </c>
      <c r="E10" s="54">
        <v>368266118</v>
      </c>
      <c r="F10" s="54">
        <v>0</v>
      </c>
      <c r="G10" s="54">
        <v>0</v>
      </c>
      <c r="H10" s="55">
        <v>0</v>
      </c>
      <c r="I10" s="56">
        <f t="shared" ref="I10:I35" si="0">SUM(C10:H10)</f>
        <v>379053576</v>
      </c>
      <c r="J10" s="57">
        <f t="shared" ref="J10:J36" si="1">SUM(B10:H10)</f>
        <v>3982597891</v>
      </c>
    </row>
    <row r="11" spans="1:10">
      <c r="A11" s="58" t="s">
        <v>46</v>
      </c>
      <c r="B11" s="59">
        <v>1247255231</v>
      </c>
      <c r="C11" s="60">
        <v>37158001</v>
      </c>
      <c r="D11" s="61">
        <v>2089414</v>
      </c>
      <c r="E11" s="59">
        <v>5112887</v>
      </c>
      <c r="F11" s="59">
        <v>0</v>
      </c>
      <c r="G11" s="59">
        <v>90460804</v>
      </c>
      <c r="H11" s="60">
        <v>0</v>
      </c>
      <c r="I11" s="62">
        <f t="shared" si="0"/>
        <v>134821106</v>
      </c>
      <c r="J11" s="63">
        <f t="shared" si="1"/>
        <v>1382076337</v>
      </c>
    </row>
    <row r="12" spans="1:10">
      <c r="A12" s="64" t="s">
        <v>47</v>
      </c>
      <c r="B12" s="54">
        <v>565942561</v>
      </c>
      <c r="C12" s="55">
        <v>0</v>
      </c>
      <c r="D12" s="53">
        <v>0</v>
      </c>
      <c r="E12" s="54">
        <v>3034438</v>
      </c>
      <c r="F12" s="54">
        <v>0</v>
      </c>
      <c r="G12" s="54">
        <v>0</v>
      </c>
      <c r="H12" s="55">
        <v>0</v>
      </c>
      <c r="I12" s="65">
        <f t="shared" si="0"/>
        <v>3034438</v>
      </c>
      <c r="J12" s="66">
        <f t="shared" si="1"/>
        <v>568976999</v>
      </c>
    </row>
    <row r="13" spans="1:10">
      <c r="A13" s="58" t="s">
        <v>48</v>
      </c>
      <c r="B13" s="59">
        <v>52593246</v>
      </c>
      <c r="C13" s="60">
        <v>0</v>
      </c>
      <c r="D13" s="61">
        <v>5137776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5137776</v>
      </c>
      <c r="J13" s="63">
        <f t="shared" si="1"/>
        <v>57731022</v>
      </c>
    </row>
    <row r="14" spans="1:10">
      <c r="A14" s="64" t="s">
        <v>49</v>
      </c>
      <c r="B14" s="54">
        <v>257733583</v>
      </c>
      <c r="C14" s="55">
        <v>59675810</v>
      </c>
      <c r="D14" s="53">
        <v>5683411</v>
      </c>
      <c r="E14" s="54">
        <v>1072294</v>
      </c>
      <c r="F14" s="54">
        <v>0</v>
      </c>
      <c r="G14" s="54">
        <v>0</v>
      </c>
      <c r="H14" s="55">
        <v>0</v>
      </c>
      <c r="I14" s="65">
        <f t="shared" si="0"/>
        <v>66431515</v>
      </c>
      <c r="J14" s="66">
        <f t="shared" si="1"/>
        <v>324165098</v>
      </c>
    </row>
    <row r="15" spans="1:10">
      <c r="A15" s="58" t="s">
        <v>50</v>
      </c>
      <c r="B15" s="59">
        <v>63393175.890000001</v>
      </c>
      <c r="C15" s="60">
        <v>271309.59999999998</v>
      </c>
      <c r="D15" s="61">
        <v>1161.3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272470.89999999997</v>
      </c>
      <c r="J15" s="63">
        <f t="shared" si="1"/>
        <v>63665646.789999999</v>
      </c>
    </row>
    <row r="16" spans="1:10">
      <c r="A16" s="64" t="s">
        <v>51</v>
      </c>
      <c r="B16" s="54">
        <v>54166003.25</v>
      </c>
      <c r="C16" s="55">
        <v>7886.3</v>
      </c>
      <c r="D16" s="53">
        <v>1802570.15</v>
      </c>
      <c r="E16" s="54">
        <v>3664.15</v>
      </c>
      <c r="F16" s="54">
        <v>0</v>
      </c>
      <c r="G16" s="54">
        <v>0</v>
      </c>
      <c r="H16" s="55">
        <v>0</v>
      </c>
      <c r="I16" s="65">
        <f t="shared" si="0"/>
        <v>1814120.5999999999</v>
      </c>
      <c r="J16" s="66">
        <f t="shared" si="1"/>
        <v>55980123.849999994</v>
      </c>
    </row>
    <row r="17" spans="1:10">
      <c r="A17" s="58" t="s">
        <v>52</v>
      </c>
      <c r="B17" s="59">
        <v>61186977.469999999</v>
      </c>
      <c r="C17" s="60">
        <v>831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831</v>
      </c>
      <c r="J17" s="63">
        <f t="shared" si="1"/>
        <v>61187808.469999999</v>
      </c>
    </row>
    <row r="18" spans="1:10">
      <c r="A18" s="64" t="s">
        <v>53</v>
      </c>
      <c r="B18" s="54">
        <v>417690344</v>
      </c>
      <c r="C18" s="55">
        <v>5041526.95</v>
      </c>
      <c r="D18" s="53">
        <v>7247919</v>
      </c>
      <c r="E18" s="54">
        <v>2627174</v>
      </c>
      <c r="F18" s="54">
        <v>0</v>
      </c>
      <c r="G18" s="54">
        <v>0</v>
      </c>
      <c r="H18" s="55">
        <v>0</v>
      </c>
      <c r="I18" s="65">
        <f t="shared" si="0"/>
        <v>14916619.949999999</v>
      </c>
      <c r="J18" s="66">
        <f t="shared" si="1"/>
        <v>432606963.94999999</v>
      </c>
    </row>
    <row r="19" spans="1:10">
      <c r="A19" s="58" t="s">
        <v>54</v>
      </c>
      <c r="B19" s="59">
        <v>427039447.25</v>
      </c>
      <c r="C19" s="60">
        <v>0</v>
      </c>
      <c r="D19" s="61">
        <v>2999153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2999153</v>
      </c>
      <c r="J19" s="63">
        <f t="shared" si="1"/>
        <v>430038600.25</v>
      </c>
    </row>
    <row r="20" spans="1:10">
      <c r="A20" s="64" t="s">
        <v>55</v>
      </c>
      <c r="B20" s="54">
        <v>293070119</v>
      </c>
      <c r="C20" s="55">
        <v>2673908</v>
      </c>
      <c r="D20" s="53">
        <v>819628</v>
      </c>
      <c r="E20" s="54">
        <v>25655315</v>
      </c>
      <c r="F20" s="54">
        <v>0</v>
      </c>
      <c r="G20" s="54">
        <v>83117984</v>
      </c>
      <c r="H20" s="55">
        <v>0</v>
      </c>
      <c r="I20" s="65">
        <f t="shared" si="0"/>
        <v>112266835</v>
      </c>
      <c r="J20" s="66">
        <f t="shared" si="1"/>
        <v>405336954</v>
      </c>
    </row>
    <row r="21" spans="1:10">
      <c r="A21" s="58" t="s">
        <v>56</v>
      </c>
      <c r="B21" s="59">
        <v>653854065.85000002</v>
      </c>
      <c r="C21" s="60">
        <v>85893016.200000003</v>
      </c>
      <c r="D21" s="61">
        <v>0</v>
      </c>
      <c r="E21" s="59">
        <v>1171159668.5999999</v>
      </c>
      <c r="F21" s="59">
        <v>0</v>
      </c>
      <c r="G21" s="59">
        <v>1357722000</v>
      </c>
      <c r="H21" s="60">
        <v>0</v>
      </c>
      <c r="I21" s="62">
        <f t="shared" si="0"/>
        <v>2614774684.8000002</v>
      </c>
      <c r="J21" s="63">
        <f t="shared" si="1"/>
        <v>3268628750.6500001</v>
      </c>
    </row>
    <row r="22" spans="1:10">
      <c r="A22" s="64" t="s">
        <v>57</v>
      </c>
      <c r="B22" s="54">
        <v>333070407.38</v>
      </c>
      <c r="C22" s="55">
        <v>52852688.600000001</v>
      </c>
      <c r="D22" s="53">
        <v>39682.800000000003</v>
      </c>
      <c r="E22" s="54">
        <v>489063431.06</v>
      </c>
      <c r="F22" s="54">
        <v>0</v>
      </c>
      <c r="G22" s="54">
        <v>882687219.25</v>
      </c>
      <c r="H22" s="55">
        <v>0</v>
      </c>
      <c r="I22" s="65">
        <f t="shared" si="0"/>
        <v>1424643021.71</v>
      </c>
      <c r="J22" s="66">
        <f t="shared" si="1"/>
        <v>1757713429.0900002</v>
      </c>
    </row>
    <row r="23" spans="1:10">
      <c r="A23" s="58" t="s">
        <v>58</v>
      </c>
      <c r="B23" s="59">
        <v>203418484.19999999</v>
      </c>
      <c r="C23" s="60">
        <v>13041491.199999999</v>
      </c>
      <c r="D23" s="61">
        <v>227571.95</v>
      </c>
      <c r="E23" s="59">
        <v>297591279.25</v>
      </c>
      <c r="F23" s="59">
        <v>0</v>
      </c>
      <c r="G23" s="59">
        <v>0</v>
      </c>
      <c r="H23" s="60">
        <v>0</v>
      </c>
      <c r="I23" s="62">
        <f t="shared" si="0"/>
        <v>310860342.39999998</v>
      </c>
      <c r="J23" s="63">
        <f t="shared" si="1"/>
        <v>514278826.59999996</v>
      </c>
    </row>
    <row r="24" spans="1:10">
      <c r="A24" s="64" t="s">
        <v>59</v>
      </c>
      <c r="B24" s="54">
        <v>74291993.840000004</v>
      </c>
      <c r="C24" s="55">
        <v>1340670.2</v>
      </c>
      <c r="D24" s="53">
        <v>11690203.85</v>
      </c>
      <c r="E24" s="54">
        <v>2456226.6</v>
      </c>
      <c r="F24" s="54">
        <v>0</v>
      </c>
      <c r="G24" s="54">
        <v>0</v>
      </c>
      <c r="H24" s="55">
        <v>0</v>
      </c>
      <c r="I24" s="65">
        <f t="shared" si="0"/>
        <v>15487100.649999999</v>
      </c>
      <c r="J24" s="66">
        <f t="shared" si="1"/>
        <v>89779094.489999995</v>
      </c>
    </row>
    <row r="25" spans="1:10">
      <c r="A25" s="58" t="s">
        <v>60</v>
      </c>
      <c r="B25" s="59">
        <v>17089951.18</v>
      </c>
      <c r="C25" s="60">
        <v>306964.55</v>
      </c>
      <c r="D25" s="61">
        <v>2823099</v>
      </c>
      <c r="E25" s="59">
        <v>432227.4</v>
      </c>
      <c r="F25" s="59">
        <v>0</v>
      </c>
      <c r="G25" s="59">
        <v>0</v>
      </c>
      <c r="H25" s="60">
        <v>0</v>
      </c>
      <c r="I25" s="62">
        <f t="shared" si="0"/>
        <v>3562290.9499999997</v>
      </c>
      <c r="J25" s="63">
        <f t="shared" si="1"/>
        <v>20652242.129999999</v>
      </c>
    </row>
    <row r="26" spans="1:10">
      <c r="A26" s="64" t="s">
        <v>61</v>
      </c>
      <c r="B26" s="54">
        <v>701993146.91999996</v>
      </c>
      <c r="C26" s="55">
        <v>40132721.399999999</v>
      </c>
      <c r="D26" s="53">
        <v>409798210.61000001</v>
      </c>
      <c r="E26" s="54">
        <v>54976325.350000001</v>
      </c>
      <c r="F26" s="54">
        <v>0</v>
      </c>
      <c r="G26" s="54">
        <v>0</v>
      </c>
      <c r="H26" s="55">
        <v>0</v>
      </c>
      <c r="I26" s="65">
        <f t="shared" si="0"/>
        <v>504907257.36000001</v>
      </c>
      <c r="J26" s="66">
        <f t="shared" si="1"/>
        <v>1206900404.2799997</v>
      </c>
    </row>
    <row r="27" spans="1:10">
      <c r="A27" s="58" t="s">
        <v>62</v>
      </c>
      <c r="B27" s="59">
        <v>0</v>
      </c>
      <c r="C27" s="60">
        <v>0</v>
      </c>
      <c r="D27" s="61">
        <v>0</v>
      </c>
      <c r="E27" s="59">
        <v>0</v>
      </c>
      <c r="F27" s="59">
        <v>0</v>
      </c>
      <c r="G27" s="59">
        <v>0</v>
      </c>
      <c r="H27" s="60">
        <v>0</v>
      </c>
      <c r="I27" s="62">
        <f t="shared" si="0"/>
        <v>0</v>
      </c>
      <c r="J27" s="63">
        <f t="shared" si="1"/>
        <v>0</v>
      </c>
    </row>
    <row r="28" spans="1:10">
      <c r="A28" s="64" t="s">
        <v>63</v>
      </c>
      <c r="B28" s="54">
        <v>933655050.21913004</v>
      </c>
      <c r="C28" s="55">
        <v>0</v>
      </c>
      <c r="D28" s="53">
        <v>0</v>
      </c>
      <c r="E28" s="54">
        <v>644098635.89999998</v>
      </c>
      <c r="F28" s="54">
        <v>0</v>
      </c>
      <c r="G28" s="54">
        <v>0</v>
      </c>
      <c r="H28" s="55">
        <v>0</v>
      </c>
      <c r="I28" s="65">
        <f t="shared" si="0"/>
        <v>644098635.89999998</v>
      </c>
      <c r="J28" s="66">
        <f t="shared" si="1"/>
        <v>1577753686.1191301</v>
      </c>
    </row>
    <row r="29" spans="1:10">
      <c r="A29" s="58" t="s">
        <v>64</v>
      </c>
      <c r="B29" s="59">
        <v>400503396.10000002</v>
      </c>
      <c r="C29" s="60">
        <v>10614311.800000001</v>
      </c>
      <c r="D29" s="61">
        <v>16804251.350000001</v>
      </c>
      <c r="E29" s="59">
        <v>207232829.69999999</v>
      </c>
      <c r="F29" s="59">
        <v>0</v>
      </c>
      <c r="G29" s="59">
        <v>0</v>
      </c>
      <c r="H29" s="60">
        <v>0</v>
      </c>
      <c r="I29" s="62">
        <f t="shared" si="0"/>
        <v>234651392.84999999</v>
      </c>
      <c r="J29" s="63">
        <f t="shared" si="1"/>
        <v>635154788.95000005</v>
      </c>
    </row>
    <row r="30" spans="1:10">
      <c r="A30" s="64" t="s">
        <v>65</v>
      </c>
      <c r="B30" s="54">
        <v>720449580</v>
      </c>
      <c r="C30" s="55">
        <v>64604200</v>
      </c>
      <c r="D30" s="53">
        <v>0</v>
      </c>
      <c r="E30" s="54">
        <v>0</v>
      </c>
      <c r="F30" s="54">
        <v>0</v>
      </c>
      <c r="G30" s="54">
        <v>0</v>
      </c>
      <c r="H30" s="55">
        <v>2088869135</v>
      </c>
      <c r="I30" s="65">
        <f t="shared" si="0"/>
        <v>2153473335</v>
      </c>
      <c r="J30" s="66">
        <f t="shared" si="1"/>
        <v>2873922915</v>
      </c>
    </row>
    <row r="31" spans="1:10">
      <c r="A31" s="58" t="s">
        <v>66</v>
      </c>
      <c r="B31" s="59">
        <v>1867494327.2</v>
      </c>
      <c r="C31" s="60">
        <v>0</v>
      </c>
      <c r="D31" s="61">
        <v>0</v>
      </c>
      <c r="E31" s="59">
        <v>0</v>
      </c>
      <c r="F31" s="59">
        <v>0</v>
      </c>
      <c r="G31" s="59">
        <v>1222844360.95</v>
      </c>
      <c r="H31" s="60">
        <v>0</v>
      </c>
      <c r="I31" s="62">
        <f t="shared" si="0"/>
        <v>1222844360.95</v>
      </c>
      <c r="J31" s="63">
        <f t="shared" si="1"/>
        <v>3090338688.1500001</v>
      </c>
    </row>
    <row r="32" spans="1:10">
      <c r="A32" s="64" t="s">
        <v>67</v>
      </c>
      <c r="B32" s="54">
        <v>741129562</v>
      </c>
      <c r="C32" s="55">
        <v>3219615</v>
      </c>
      <c r="D32" s="53">
        <v>0</v>
      </c>
      <c r="E32" s="54">
        <v>276477</v>
      </c>
      <c r="F32" s="54">
        <v>0</v>
      </c>
      <c r="G32" s="54">
        <v>55700061</v>
      </c>
      <c r="H32" s="55">
        <v>42339762</v>
      </c>
      <c r="I32" s="65">
        <f t="shared" si="0"/>
        <v>101535915</v>
      </c>
      <c r="J32" s="66">
        <f t="shared" si="1"/>
        <v>842665477</v>
      </c>
    </row>
    <row r="33" spans="1:10">
      <c r="A33" s="58" t="s">
        <v>68</v>
      </c>
      <c r="B33" s="59">
        <v>228904871</v>
      </c>
      <c r="C33" s="60">
        <v>4901728</v>
      </c>
      <c r="D33" s="61">
        <v>0</v>
      </c>
      <c r="E33" s="59">
        <v>0</v>
      </c>
      <c r="F33" s="59">
        <v>0</v>
      </c>
      <c r="G33" s="59">
        <v>585619338</v>
      </c>
      <c r="H33" s="60">
        <v>0</v>
      </c>
      <c r="I33" s="62">
        <f t="shared" si="0"/>
        <v>590521066</v>
      </c>
      <c r="J33" s="63">
        <f t="shared" si="1"/>
        <v>819425937</v>
      </c>
    </row>
    <row r="34" spans="1:10">
      <c r="A34" s="64" t="s">
        <v>69</v>
      </c>
      <c r="B34" s="54">
        <v>1688507912</v>
      </c>
      <c r="C34" s="55">
        <v>0</v>
      </c>
      <c r="D34" s="53">
        <v>0</v>
      </c>
      <c r="E34" s="54">
        <v>0</v>
      </c>
      <c r="F34" s="54">
        <v>5395289678</v>
      </c>
      <c r="G34" s="54">
        <v>0</v>
      </c>
      <c r="H34" s="55">
        <v>0</v>
      </c>
      <c r="I34" s="65">
        <f t="shared" si="0"/>
        <v>5395289678</v>
      </c>
      <c r="J34" s="66">
        <f t="shared" si="1"/>
        <v>7083797590</v>
      </c>
    </row>
    <row r="35" spans="1:10">
      <c r="A35" s="67" t="s">
        <v>105</v>
      </c>
      <c r="B35" s="194">
        <v>63857988.530000001</v>
      </c>
      <c r="C35" s="68">
        <v>2718383.3</v>
      </c>
      <c r="D35" s="61">
        <v>0</v>
      </c>
      <c r="E35" s="59">
        <v>477730</v>
      </c>
      <c r="F35" s="59">
        <v>0</v>
      </c>
      <c r="G35" s="59">
        <v>351535329</v>
      </c>
      <c r="H35" s="60">
        <v>0</v>
      </c>
      <c r="I35" s="62">
        <f t="shared" si="0"/>
        <v>354731442.30000001</v>
      </c>
      <c r="J35" s="195">
        <f t="shared" si="1"/>
        <v>418589430.82999998</v>
      </c>
    </row>
    <row r="36" spans="1:10">
      <c r="A36" s="5" t="s">
        <v>71</v>
      </c>
      <c r="B36" s="69">
        <f t="shared" ref="B36:I36" si="2">SUM(B10:B35)</f>
        <v>15671835739.279133</v>
      </c>
      <c r="C36" s="70">
        <f t="shared" si="2"/>
        <v>395242521.10000002</v>
      </c>
      <c r="D36" s="71">
        <f t="shared" si="2"/>
        <v>467164052.01000005</v>
      </c>
      <c r="E36" s="69">
        <f t="shared" si="2"/>
        <v>3273536721.0099998</v>
      </c>
      <c r="F36" s="69">
        <f t="shared" si="2"/>
        <v>5395289678</v>
      </c>
      <c r="G36" s="69">
        <f t="shared" si="2"/>
        <v>4629687096.1999998</v>
      </c>
      <c r="H36" s="70">
        <f t="shared" si="2"/>
        <v>2131208897</v>
      </c>
      <c r="I36" s="71">
        <f t="shared" si="2"/>
        <v>16292128965.32</v>
      </c>
      <c r="J36" s="72">
        <f t="shared" si="1"/>
        <v>31963964704.599133</v>
      </c>
    </row>
    <row r="37" spans="1:10">
      <c r="A37" s="193" t="s">
        <v>106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2007</v>
      </c>
    </row>
    <row r="2" spans="1:4" ht="15.75" customHeight="1">
      <c r="A2" s="74" t="str">
        <f>Bruttoeink!A2</f>
        <v>Referenzjahr 2012</v>
      </c>
    </row>
    <row r="3" spans="1:4" ht="33" customHeight="1">
      <c r="C3" s="75" t="str">
        <f>Info!$C$28</f>
        <v>FA_2012_20120430_alpha0.7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382853597</v>
      </c>
      <c r="D5" s="81"/>
    </row>
    <row r="6" spans="1:4">
      <c r="A6" s="82" t="s">
        <v>76</v>
      </c>
      <c r="B6" s="83" t="str">
        <f>"ASG_"&amp;Info!C30&amp;"_"&amp;Info!C31&amp;".xlsx"</f>
        <v>ASG_2012_2007.xlsx</v>
      </c>
      <c r="C6" s="84">
        <f>Berechnung_QS!O39</f>
        <v>152494096.80000001</v>
      </c>
      <c r="D6" s="81"/>
    </row>
    <row r="7" spans="1:4" ht="24.75" customHeight="1">
      <c r="A7" s="85" t="s">
        <v>77</v>
      </c>
      <c r="B7" s="85"/>
      <c r="C7" s="86">
        <f>ROUND(C6/C5,3)</f>
        <v>0.39800000000000002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2007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2012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FA_2012_20120430_alpha0.7</v>
      </c>
      <c r="R3" s="12"/>
    </row>
    <row r="4" spans="1:22" ht="37.5" customHeight="1">
      <c r="A4" s="211" t="str">
        <f>"Berechnung von QS auf der Basis der Bruttolöhne "&amp;Info!C31</f>
        <v>Berechnung von QS auf der Basis der Bruttolöhne 2007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4" t="s">
        <v>78</v>
      </c>
      <c r="O4" s="215"/>
      <c r="P4" s="215"/>
      <c r="Q4" s="216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(1-0.125)*gamma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21" t="str">
        <f>"Massgebendes Einkommen "&amp;Info!C31</f>
        <v>Massgebendes Einkommen 2007</v>
      </c>
      <c r="P8" s="205" t="s">
        <v>95</v>
      </c>
      <c r="Q8" s="198" t="s">
        <v>96</v>
      </c>
      <c r="R8" s="118"/>
      <c r="S8" s="228" t="s">
        <v>97</v>
      </c>
    </row>
    <row r="9" spans="1:22" s="119" customFormat="1" ht="24" customHeight="1">
      <c r="A9" s="33"/>
      <c r="B9" s="205" t="s">
        <v>31</v>
      </c>
      <c r="C9" s="205" t="s">
        <v>32</v>
      </c>
      <c r="D9" s="202" t="s">
        <v>33</v>
      </c>
      <c r="E9" s="203"/>
      <c r="F9" s="203"/>
      <c r="G9" s="203"/>
      <c r="H9" s="204"/>
      <c r="I9" s="205" t="s">
        <v>98</v>
      </c>
      <c r="J9" s="205" t="s">
        <v>99</v>
      </c>
      <c r="K9" s="205" t="s">
        <v>100</v>
      </c>
      <c r="L9" s="198" t="s">
        <v>101</v>
      </c>
      <c r="M9" s="117"/>
      <c r="N9" s="120"/>
      <c r="O9" s="222"/>
      <c r="P9" s="217"/>
      <c r="Q9" s="218"/>
      <c r="R9" s="118"/>
      <c r="S9" s="229"/>
      <c r="V9" s="121" t="str">
        <f>Info!C28</f>
        <v>FA_2012_20120430_alpha0.7</v>
      </c>
    </row>
    <row r="10" spans="1:22" s="119" customFormat="1" ht="69" customHeight="1">
      <c r="A10" s="34"/>
      <c r="B10" s="217"/>
      <c r="C10" s="21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7"/>
      <c r="J10" s="217"/>
      <c r="K10" s="217"/>
      <c r="L10" s="218"/>
      <c r="M10" s="117"/>
      <c r="N10" s="122"/>
      <c r="O10" s="223"/>
      <c r="P10" s="226"/>
      <c r="Q10" s="227"/>
      <c r="R10" s="118"/>
      <c r="S10" s="229"/>
      <c r="U10" s="224" t="str">
        <f>" Standardisierter Steuersatz (SST) "&amp;Info!C30-1</f>
        <v xml:space="preserve"> Standardisierter Steuersatz (SST) 2011</v>
      </c>
      <c r="V10" s="225"/>
    </row>
    <row r="11" spans="1:22" s="123" customFormat="1" ht="14.25" customHeight="1">
      <c r="A11" s="124" t="s">
        <v>102</v>
      </c>
      <c r="B11" s="125">
        <f>gamma</f>
        <v>0.39800000000000002</v>
      </c>
      <c r="C11" s="125">
        <f>gamma</f>
        <v>0.39800000000000002</v>
      </c>
      <c r="D11" s="126">
        <f>IF(Info!C31&lt;2006,0.03/sst,0.875*gamma)</f>
        <v>0.34825</v>
      </c>
      <c r="E11" s="125">
        <f>0.045/sst</f>
        <v>0.16981132075471697</v>
      </c>
      <c r="F11" s="125">
        <f>gamma-0.035/sst</f>
        <v>0.26592452830188684</v>
      </c>
      <c r="G11" s="125">
        <f>0.045/sst</f>
        <v>0.16981132075471697</v>
      </c>
      <c r="H11" s="127">
        <f>0.6*gamma</f>
        <v>0.23880000000000001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ASG_2012_2007.xlsx</v>
      </c>
      <c r="R11" s="131"/>
      <c r="S11" s="132"/>
      <c r="U11" s="219" t="str">
        <f>"Quelle: RA_"&amp;Info!C30-1&amp;".xlsx"</f>
        <v>Quelle: RA_2011.xlsx</v>
      </c>
      <c r="V11" s="220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1434210.6373700001</v>
      </c>
      <c r="C13" s="139">
        <f>(Bruttoeink!C10*C$11)/1000</f>
        <v>4293.4082840000001</v>
      </c>
      <c r="D13" s="140">
        <f>(Bruttoeink!D10*D$11)/1000</f>
        <v>0</v>
      </c>
      <c r="E13" s="139">
        <f>(Bruttoeink!E10*E$11)/1000</f>
        <v>62535.755886792453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66829.164170792457</v>
      </c>
      <c r="J13" s="142">
        <f t="shared" ref="J13:J38" si="1">$J$39</f>
        <v>0.75</v>
      </c>
      <c r="K13" s="139">
        <f t="shared" ref="K13:K39" si="2">I13*J13</f>
        <v>50121.873128094347</v>
      </c>
      <c r="L13" s="143">
        <f t="shared" ref="L13:L39" si="3">K13+B13</f>
        <v>1484332.5104980944</v>
      </c>
      <c r="M13" s="144"/>
      <c r="N13" s="138" t="s">
        <v>45</v>
      </c>
      <c r="O13" s="145">
        <v>33239621.199999999</v>
      </c>
      <c r="P13" s="146">
        <v>6.0032624751965601E-2</v>
      </c>
      <c r="Q13" s="143">
        <f>IF(Berechnung_QS!L13=0,O13*P13,0)</f>
        <v>0</v>
      </c>
      <c r="R13" s="147"/>
      <c r="S13" s="148">
        <f>Berechnung_QS!L13+Q13</f>
        <v>1484332.5104980944</v>
      </c>
      <c r="U13" s="149" t="s">
        <v>103</v>
      </c>
      <c r="V13" s="150">
        <v>0.26519087542212599</v>
      </c>
    </row>
    <row r="14" spans="1:22" ht="15.75" customHeight="1">
      <c r="A14" s="151" t="s">
        <v>46</v>
      </c>
      <c r="B14" s="152">
        <f>(Bruttoeink!B11*B$11)/1000</f>
        <v>496407.58193800005</v>
      </c>
      <c r="C14" s="152">
        <f>(Bruttoeink!C11*C$11)/1000</f>
        <v>14788.884398</v>
      </c>
      <c r="D14" s="153">
        <f>(Bruttoeink!D11*D$11)/1000</f>
        <v>727.63842550000004</v>
      </c>
      <c r="E14" s="152">
        <f>(Bruttoeink!E11*E$11)/1000</f>
        <v>868.22609433962248</v>
      </c>
      <c r="F14" s="152">
        <f>(Bruttoeink!F11*F$11)/1000</f>
        <v>0</v>
      </c>
      <c r="G14" s="152">
        <f>(Bruttoeink!G11*G$11)/1000</f>
        <v>15361.268603773584</v>
      </c>
      <c r="H14" s="154">
        <f>(Bruttoeink!H11*H$11)/1000</f>
        <v>0</v>
      </c>
      <c r="I14" s="152">
        <f t="shared" si="0"/>
        <v>31746.017521613205</v>
      </c>
      <c r="J14" s="155">
        <f t="shared" si="1"/>
        <v>0.75</v>
      </c>
      <c r="K14" s="152">
        <f t="shared" si="2"/>
        <v>23809.513141209904</v>
      </c>
      <c r="L14" s="156">
        <f t="shared" si="3"/>
        <v>520217.09507920995</v>
      </c>
      <c r="M14" s="144"/>
      <c r="N14" s="151" t="s">
        <v>46</v>
      </c>
      <c r="O14" s="157">
        <v>15099723.1</v>
      </c>
      <c r="P14" s="158">
        <v>5.3978553638040501E-2</v>
      </c>
      <c r="Q14" s="156">
        <f>IF(Berechnung_QS!L14=0,O14*P14,0)</f>
        <v>0</v>
      </c>
      <c r="R14" s="147"/>
      <c r="S14" s="159">
        <f>Berechnung_QS!L14+Q14</f>
        <v>520217.09507920995</v>
      </c>
      <c r="U14" s="160" t="s">
        <v>104</v>
      </c>
      <c r="V14" s="161">
        <f>ROUND(V13,3)</f>
        <v>0.26500000000000001</v>
      </c>
    </row>
    <row r="15" spans="1:22" ht="15.75" customHeight="1">
      <c r="A15" s="162" t="s">
        <v>47</v>
      </c>
      <c r="B15" s="163">
        <f>(Bruttoeink!B12*B$11)/1000</f>
        <v>225245.13927799999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515.28192452830183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515.28192452830183</v>
      </c>
      <c r="J15" s="166">
        <f t="shared" si="1"/>
        <v>0.75</v>
      </c>
      <c r="K15" s="163">
        <f t="shared" si="2"/>
        <v>386.4614433962264</v>
      </c>
      <c r="L15" s="167">
        <f t="shared" si="3"/>
        <v>225631.60072139621</v>
      </c>
      <c r="M15" s="144"/>
      <c r="N15" s="162" t="s">
        <v>47</v>
      </c>
      <c r="O15" s="168">
        <v>5933915.0999999996</v>
      </c>
      <c r="P15" s="169">
        <v>5.7401083506622798E-2</v>
      </c>
      <c r="Q15" s="167">
        <f>IF(Berechnung_QS!L15=0,O15*P15,0)</f>
        <v>0</v>
      </c>
      <c r="R15" s="147"/>
      <c r="S15" s="170">
        <f>Berechnung_QS!L15+Q15</f>
        <v>225631.60072139621</v>
      </c>
    </row>
    <row r="16" spans="1:22" ht="15.75" customHeight="1">
      <c r="A16" s="151" t="s">
        <v>48</v>
      </c>
      <c r="B16" s="152">
        <f>(Bruttoeink!B13*B$11)/1000</f>
        <v>20932.111907999999</v>
      </c>
      <c r="C16" s="152">
        <f>(Bruttoeink!C13*C$11)/1000</f>
        <v>0</v>
      </c>
      <c r="D16" s="153">
        <f>(Bruttoeink!D13*D$11)/1000</f>
        <v>1789.2304920000001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1789.2304920000001</v>
      </c>
      <c r="J16" s="155">
        <f t="shared" si="1"/>
        <v>0.75</v>
      </c>
      <c r="K16" s="152">
        <f t="shared" si="2"/>
        <v>1341.922869</v>
      </c>
      <c r="L16" s="156">
        <f t="shared" si="3"/>
        <v>22274.034777000001</v>
      </c>
      <c r="M16" s="144"/>
      <c r="N16" s="151" t="s">
        <v>48</v>
      </c>
      <c r="O16" s="157">
        <v>435963.4</v>
      </c>
      <c r="P16" s="158">
        <v>6.2767461991165105E-2</v>
      </c>
      <c r="Q16" s="156">
        <f>IF(Berechnung_QS!L16=0,O16*P16,0)</f>
        <v>0</v>
      </c>
      <c r="R16" s="147"/>
      <c r="S16" s="159">
        <f>Berechnung_QS!L16+Q16</f>
        <v>22274.034777000001</v>
      </c>
    </row>
    <row r="17" spans="1:19" ht="15.75" customHeight="1">
      <c r="A17" s="162" t="s">
        <v>49</v>
      </c>
      <c r="B17" s="163">
        <f>(Bruttoeink!B14*B$11)/1000</f>
        <v>102577.96603400001</v>
      </c>
      <c r="C17" s="163">
        <f>(Bruttoeink!C14*C$11)/1000</f>
        <v>23750.972380000003</v>
      </c>
      <c r="D17" s="164">
        <f>(Bruttoeink!D14*D$11)/1000</f>
        <v>1979.2478807499999</v>
      </c>
      <c r="E17" s="163">
        <f>(Bruttoeink!E14*E$11)/1000</f>
        <v>182.0876603773585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25912.307921127362</v>
      </c>
      <c r="J17" s="166">
        <f t="shared" si="1"/>
        <v>0.75</v>
      </c>
      <c r="K17" s="163">
        <f t="shared" si="2"/>
        <v>19434.230940845522</v>
      </c>
      <c r="L17" s="167">
        <f t="shared" si="3"/>
        <v>122012.19697484553</v>
      </c>
      <c r="M17" s="144"/>
      <c r="N17" s="162" t="s">
        <v>49</v>
      </c>
      <c r="O17" s="168">
        <v>4771121.7</v>
      </c>
      <c r="P17" s="169">
        <v>3.5852622363360197E-2</v>
      </c>
      <c r="Q17" s="167">
        <f>IF(Berechnung_QS!L17=0,O17*P17,0)</f>
        <v>0</v>
      </c>
      <c r="R17" s="147"/>
      <c r="S17" s="170">
        <f>Berechnung_QS!L17+Q17</f>
        <v>122012.19697484553</v>
      </c>
    </row>
    <row r="18" spans="1:19" ht="15.75" customHeight="1">
      <c r="A18" s="151" t="s">
        <v>50</v>
      </c>
      <c r="B18" s="152">
        <f>(Bruttoeink!B15*B$11)/1000</f>
        <v>25230.484004220001</v>
      </c>
      <c r="C18" s="152">
        <f>(Bruttoeink!C15*C$11)/1000</f>
        <v>107.98122079999999</v>
      </c>
      <c r="D18" s="153">
        <f>(Bruttoeink!D15*D$11)/1000</f>
        <v>0.40442272500000004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108.38564352499999</v>
      </c>
      <c r="J18" s="155">
        <f t="shared" si="1"/>
        <v>0.75</v>
      </c>
      <c r="K18" s="152">
        <f t="shared" si="2"/>
        <v>81.289232643749997</v>
      </c>
      <c r="L18" s="156">
        <f t="shared" si="3"/>
        <v>25311.773236863752</v>
      </c>
      <c r="M18" s="144"/>
      <c r="N18" s="151" t="s">
        <v>50</v>
      </c>
      <c r="O18" s="157">
        <v>588441.30000000005</v>
      </c>
      <c r="P18" s="158">
        <v>5.4146172269888299E-2</v>
      </c>
      <c r="Q18" s="156">
        <f>IF(Berechnung_QS!L18=0,O18*P18,0)</f>
        <v>0</v>
      </c>
      <c r="R18" s="147"/>
      <c r="S18" s="159">
        <f>Berechnung_QS!L18+Q18</f>
        <v>25311.773236863752</v>
      </c>
    </row>
    <row r="19" spans="1:19" ht="15.75" customHeight="1">
      <c r="A19" s="162" t="s">
        <v>51</v>
      </c>
      <c r="B19" s="163">
        <f>(Bruttoeink!B16*B$11)/1000</f>
        <v>21558.069293500004</v>
      </c>
      <c r="C19" s="163">
        <f>(Bruttoeink!C16*C$11)/1000</f>
        <v>3.1387474000000002</v>
      </c>
      <c r="D19" s="164">
        <f>(Bruttoeink!D16*D$11)/1000</f>
        <v>627.74505473750003</v>
      </c>
      <c r="E19" s="163">
        <f>(Bruttoeink!E16*E$11)/1000</f>
        <v>0.62221415094339627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631.50601628844345</v>
      </c>
      <c r="J19" s="166">
        <f t="shared" si="1"/>
        <v>0.75</v>
      </c>
      <c r="K19" s="163">
        <f t="shared" si="2"/>
        <v>473.62951221633261</v>
      </c>
      <c r="L19" s="167">
        <f t="shared" si="3"/>
        <v>22031.698805716336</v>
      </c>
      <c r="M19" s="144"/>
      <c r="N19" s="162" t="s">
        <v>51</v>
      </c>
      <c r="O19" s="168">
        <v>1119200.1000000001</v>
      </c>
      <c r="P19" s="169">
        <v>3.5079997428529401E-2</v>
      </c>
      <c r="Q19" s="167">
        <f>IF(Berechnung_QS!L19=0,O19*P19,0)</f>
        <v>0</v>
      </c>
      <c r="R19" s="147"/>
      <c r="S19" s="170">
        <f>Berechnung_QS!L19+Q19</f>
        <v>22031.698805716336</v>
      </c>
    </row>
    <row r="20" spans="1:19" ht="15.75" customHeight="1">
      <c r="A20" s="151" t="s">
        <v>52</v>
      </c>
      <c r="B20" s="152">
        <f>(Bruttoeink!B17*B$11)/1000</f>
        <v>24352.417033059999</v>
      </c>
      <c r="C20" s="152">
        <f>(Bruttoeink!C17*C$11)/1000</f>
        <v>0.33073799999999998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0.33073799999999998</v>
      </c>
      <c r="J20" s="155">
        <f t="shared" si="1"/>
        <v>0.75</v>
      </c>
      <c r="K20" s="152">
        <f t="shared" si="2"/>
        <v>0.24805349999999998</v>
      </c>
      <c r="L20" s="156">
        <f t="shared" si="3"/>
        <v>24352.665086559999</v>
      </c>
      <c r="M20" s="144"/>
      <c r="N20" s="151" t="s">
        <v>52</v>
      </c>
      <c r="O20" s="157">
        <v>533201.69999999995</v>
      </c>
      <c r="P20" s="158">
        <v>6.23576667106744E-2</v>
      </c>
      <c r="Q20" s="156">
        <f>IF(Berechnung_QS!L20=0,O20*P20,0)</f>
        <v>0</v>
      </c>
      <c r="R20" s="147"/>
      <c r="S20" s="159">
        <f>Berechnung_QS!L20+Q20</f>
        <v>24352.665086559999</v>
      </c>
    </row>
    <row r="21" spans="1:19" ht="15.75" customHeight="1">
      <c r="A21" s="162" t="s">
        <v>53</v>
      </c>
      <c r="B21" s="163">
        <f>(Bruttoeink!B18*B$11)/1000</f>
        <v>166240.75691200001</v>
      </c>
      <c r="C21" s="163">
        <f>(Bruttoeink!C18*C$11)/1000</f>
        <v>2006.5277261000001</v>
      </c>
      <c r="D21" s="164">
        <f>(Bruttoeink!D18*D$11)/1000</f>
        <v>2524.0877917499997</v>
      </c>
      <c r="E21" s="163">
        <f>(Bruttoeink!E18*E$11)/1000</f>
        <v>446.12388679245282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4976.7394046424524</v>
      </c>
      <c r="J21" s="166">
        <f t="shared" si="1"/>
        <v>0.75</v>
      </c>
      <c r="K21" s="163">
        <f t="shared" si="2"/>
        <v>3732.5545534818393</v>
      </c>
      <c r="L21" s="167">
        <f t="shared" si="3"/>
        <v>169973.31146548185</v>
      </c>
      <c r="M21" s="144"/>
      <c r="N21" s="162" t="s">
        <v>53</v>
      </c>
      <c r="O21" s="168">
        <v>4344587.7</v>
      </c>
      <c r="P21" s="169">
        <v>5.3710717424229497E-2</v>
      </c>
      <c r="Q21" s="167">
        <f>IF(Berechnung_QS!L21=0,O21*P21,0)</f>
        <v>0</v>
      </c>
      <c r="R21" s="147"/>
      <c r="S21" s="170">
        <f>Berechnung_QS!L21+Q21</f>
        <v>169973.31146548185</v>
      </c>
    </row>
    <row r="22" spans="1:19" ht="15.75" customHeight="1">
      <c r="A22" s="151" t="s">
        <v>54</v>
      </c>
      <c r="B22" s="152">
        <f>(Bruttoeink!B19*B$11)/1000</f>
        <v>169961.70000550002</v>
      </c>
      <c r="C22" s="152">
        <f>(Bruttoeink!C19*C$11)/1000</f>
        <v>0</v>
      </c>
      <c r="D22" s="153">
        <f>(Bruttoeink!D19*D$11)/1000</f>
        <v>1044.4550322500002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1044.4550322500002</v>
      </c>
      <c r="J22" s="155">
        <f t="shared" si="1"/>
        <v>0.75</v>
      </c>
      <c r="K22" s="152">
        <f t="shared" si="2"/>
        <v>783.34127418750018</v>
      </c>
      <c r="L22" s="156">
        <f t="shared" si="3"/>
        <v>170745.04127968752</v>
      </c>
      <c r="M22" s="144"/>
      <c r="N22" s="151" t="s">
        <v>54</v>
      </c>
      <c r="O22" s="157">
        <v>4073933.5</v>
      </c>
      <c r="P22" s="158">
        <v>6.2803289798579506E-2</v>
      </c>
      <c r="Q22" s="156">
        <f>IF(Berechnung_QS!L22=0,O22*P22,0)</f>
        <v>0</v>
      </c>
      <c r="R22" s="147"/>
      <c r="S22" s="159">
        <f>Berechnung_QS!L22+Q22</f>
        <v>170745.04127968752</v>
      </c>
    </row>
    <row r="23" spans="1:19" ht="15.75" customHeight="1">
      <c r="A23" s="162" t="s">
        <v>55</v>
      </c>
      <c r="B23" s="163">
        <f>(Bruttoeink!B20*B$11)/1000</f>
        <v>116641.907362</v>
      </c>
      <c r="C23" s="163">
        <f>(Bruttoeink!C20*C$11)/1000</f>
        <v>1064.2153840000001</v>
      </c>
      <c r="D23" s="164">
        <f>(Bruttoeink!D20*D$11)/1000</f>
        <v>285.435451</v>
      </c>
      <c r="E23" s="163">
        <f>(Bruttoeink!E20*E$11)/1000</f>
        <v>4356.5629245283017</v>
      </c>
      <c r="F23" s="163">
        <f>(Bruttoeink!F20*F$11)/1000</f>
        <v>0</v>
      </c>
      <c r="G23" s="163">
        <f>(Bruttoeink!G20*G$11)/1000</f>
        <v>14114.374641509432</v>
      </c>
      <c r="H23" s="165">
        <f>(Bruttoeink!H20*H$11)/1000</f>
        <v>0</v>
      </c>
      <c r="I23" s="163">
        <f t="shared" si="0"/>
        <v>19820.588401037734</v>
      </c>
      <c r="J23" s="166">
        <f t="shared" si="1"/>
        <v>0.75</v>
      </c>
      <c r="K23" s="163">
        <f t="shared" si="2"/>
        <v>14865.441300778301</v>
      </c>
      <c r="L23" s="167">
        <f t="shared" si="3"/>
        <v>131507.3486627783</v>
      </c>
      <c r="M23" s="144"/>
      <c r="N23" s="162" t="s">
        <v>55</v>
      </c>
      <c r="O23" s="168">
        <v>4257645.3</v>
      </c>
      <c r="P23" s="169">
        <v>4.99741862487455E-2</v>
      </c>
      <c r="Q23" s="167">
        <f>IF(Berechnung_QS!L23=0,O23*P23,0)</f>
        <v>0</v>
      </c>
      <c r="R23" s="147"/>
      <c r="S23" s="170">
        <f>Berechnung_QS!L23+Q23</f>
        <v>131507.3486627783</v>
      </c>
    </row>
    <row r="24" spans="1:19" ht="15.75" customHeight="1">
      <c r="A24" s="151" t="s">
        <v>56</v>
      </c>
      <c r="B24" s="152">
        <f>(Bruttoeink!B21*B$11)/1000</f>
        <v>260233.91820830002</v>
      </c>
      <c r="C24" s="152">
        <f>(Bruttoeink!C21*C$11)/1000</f>
        <v>34185.420447600001</v>
      </c>
      <c r="D24" s="153">
        <f>(Bruttoeink!D21*D$11)/1000</f>
        <v>0</v>
      </c>
      <c r="E24" s="152">
        <f>(Bruttoeink!E21*E$11)/1000</f>
        <v>198876.17013962261</v>
      </c>
      <c r="F24" s="152">
        <f>(Bruttoeink!F21*F$11)/1000</f>
        <v>0</v>
      </c>
      <c r="G24" s="152">
        <f>(Bruttoeink!G21*G$11)/1000</f>
        <v>230556.56603773584</v>
      </c>
      <c r="H24" s="154">
        <f>(Bruttoeink!H21*H$11)/1000</f>
        <v>0</v>
      </c>
      <c r="I24" s="152">
        <f t="shared" si="0"/>
        <v>463618.15662495844</v>
      </c>
      <c r="J24" s="155">
        <f t="shared" si="1"/>
        <v>0.75</v>
      </c>
      <c r="K24" s="152">
        <f t="shared" si="2"/>
        <v>347713.61746871885</v>
      </c>
      <c r="L24" s="156">
        <f t="shared" si="3"/>
        <v>607947.53567701881</v>
      </c>
      <c r="M24" s="144"/>
      <c r="N24" s="151" t="s">
        <v>56</v>
      </c>
      <c r="O24" s="157">
        <v>4224550.8</v>
      </c>
      <c r="P24" s="158">
        <v>0.15874857291037101</v>
      </c>
      <c r="Q24" s="156">
        <f>IF(Berechnung_QS!L24=0,O24*P24,0)</f>
        <v>0</v>
      </c>
      <c r="R24" s="147"/>
      <c r="S24" s="159">
        <f>Berechnung_QS!L24+Q24</f>
        <v>607947.53567701881</v>
      </c>
    </row>
    <row r="25" spans="1:19" ht="15.75" customHeight="1">
      <c r="A25" s="162" t="s">
        <v>57</v>
      </c>
      <c r="B25" s="163">
        <f>(Bruttoeink!B22*B$11)/1000</f>
        <v>132562.02213724001</v>
      </c>
      <c r="C25" s="163">
        <f>(Bruttoeink!C22*C$11)/1000</f>
        <v>21035.370062800001</v>
      </c>
      <c r="D25" s="164">
        <f>(Bruttoeink!D22*D$11)/1000</f>
        <v>13.819535100000001</v>
      </c>
      <c r="E25" s="163">
        <f>(Bruttoeink!E22*E$11)/1000</f>
        <v>83048.507161132075</v>
      </c>
      <c r="F25" s="163">
        <f>(Bruttoeink!F22*F$11)/1000</f>
        <v>0</v>
      </c>
      <c r="G25" s="163">
        <f>(Bruttoeink!G22*G$11)/1000</f>
        <v>149890.28251415095</v>
      </c>
      <c r="H25" s="165">
        <f>(Bruttoeink!H22*H$11)/1000</f>
        <v>0</v>
      </c>
      <c r="I25" s="163">
        <f t="shared" si="0"/>
        <v>253987.97927318304</v>
      </c>
      <c r="J25" s="166">
        <f t="shared" si="1"/>
        <v>0.75</v>
      </c>
      <c r="K25" s="163">
        <f t="shared" si="2"/>
        <v>190490.98445488728</v>
      </c>
      <c r="L25" s="167">
        <f t="shared" si="3"/>
        <v>323053.00659212726</v>
      </c>
      <c r="M25" s="144"/>
      <c r="N25" s="162" t="s">
        <v>57</v>
      </c>
      <c r="O25" s="168">
        <v>6246016.5</v>
      </c>
      <c r="P25" s="169">
        <v>7.1135191569333595E-2</v>
      </c>
      <c r="Q25" s="167">
        <f>IF(Berechnung_QS!L25=0,O25*P25,0)</f>
        <v>0</v>
      </c>
      <c r="R25" s="147"/>
      <c r="S25" s="170">
        <f>Berechnung_QS!L25+Q25</f>
        <v>323053.00659212726</v>
      </c>
    </row>
    <row r="26" spans="1:19" ht="15.75" customHeight="1">
      <c r="A26" s="151" t="s">
        <v>58</v>
      </c>
      <c r="B26" s="152">
        <f>(Bruttoeink!B23*B$11)/1000</f>
        <v>80960.556711600002</v>
      </c>
      <c r="C26" s="152">
        <f>(Bruttoeink!C23*C$11)/1000</f>
        <v>5190.5134975999999</v>
      </c>
      <c r="D26" s="153">
        <f>(Bruttoeink!D23*D$11)/1000</f>
        <v>79.251931587499996</v>
      </c>
      <c r="E26" s="152">
        <f>(Bruttoeink!E23*E$11)/1000</f>
        <v>50534.368174528303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55804.133603715803</v>
      </c>
      <c r="J26" s="155">
        <f t="shared" si="1"/>
        <v>0.75</v>
      </c>
      <c r="K26" s="152">
        <f t="shared" si="2"/>
        <v>41853.100202786853</v>
      </c>
      <c r="L26" s="156">
        <f t="shared" si="3"/>
        <v>122813.65691438685</v>
      </c>
      <c r="M26" s="144"/>
      <c r="N26" s="151" t="s">
        <v>58</v>
      </c>
      <c r="O26" s="157">
        <v>1251945.2</v>
      </c>
      <c r="P26" s="158">
        <v>8.9645235872763795E-2</v>
      </c>
      <c r="Q26" s="156">
        <f>IF(Berechnung_QS!L26=0,O26*P26,0)</f>
        <v>0</v>
      </c>
      <c r="R26" s="147"/>
      <c r="S26" s="159">
        <f>Berechnung_QS!L26+Q26</f>
        <v>122813.65691438685</v>
      </c>
    </row>
    <row r="27" spans="1:19" ht="15.75" customHeight="1">
      <c r="A27" s="162" t="s">
        <v>59</v>
      </c>
      <c r="B27" s="163">
        <f>(Bruttoeink!B24*B$11)/1000</f>
        <v>29568.213548320004</v>
      </c>
      <c r="C27" s="163">
        <f>(Bruttoeink!C24*C$11)/1000</f>
        <v>533.58673959999999</v>
      </c>
      <c r="D27" s="164">
        <f>(Bruttoeink!D24*D$11)/1000</f>
        <v>4071.1134907625001</v>
      </c>
      <c r="E27" s="163">
        <f>(Bruttoeink!E24*E$11)/1000</f>
        <v>417.09508301886797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5021.795313381368</v>
      </c>
      <c r="J27" s="166">
        <f t="shared" si="1"/>
        <v>0.75</v>
      </c>
      <c r="K27" s="163">
        <f t="shared" si="2"/>
        <v>3766.346485036026</v>
      </c>
      <c r="L27" s="167">
        <f t="shared" si="3"/>
        <v>33334.560033356029</v>
      </c>
      <c r="M27" s="144"/>
      <c r="N27" s="162" t="s">
        <v>59</v>
      </c>
      <c r="O27" s="168">
        <v>876494.2</v>
      </c>
      <c r="P27" s="169">
        <v>5.2354283990685702E-2</v>
      </c>
      <c r="Q27" s="167">
        <f>IF(Berechnung_QS!L27=0,O27*P27,0)</f>
        <v>0</v>
      </c>
      <c r="R27" s="147"/>
      <c r="S27" s="170">
        <f>Berechnung_QS!L27+Q27</f>
        <v>33334.560033356029</v>
      </c>
    </row>
    <row r="28" spans="1:19" ht="15.75" customHeight="1">
      <c r="A28" s="151" t="s">
        <v>60</v>
      </c>
      <c r="B28" s="152">
        <f>(Bruttoeink!B25*B$11)/1000</f>
        <v>6801.8005696400005</v>
      </c>
      <c r="C28" s="152">
        <f>(Bruttoeink!C25*C$11)/1000</f>
        <v>122.17189089999999</v>
      </c>
      <c r="D28" s="153">
        <f>(Bruttoeink!D25*D$11)/1000</f>
        <v>983.14422675000003</v>
      </c>
      <c r="E28" s="152">
        <f>(Bruttoeink!E25*E$11)/1000</f>
        <v>73.397105660377363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1178.7132233103773</v>
      </c>
      <c r="J28" s="155">
        <f t="shared" si="1"/>
        <v>0.75</v>
      </c>
      <c r="K28" s="152">
        <f t="shared" si="2"/>
        <v>884.03491748278293</v>
      </c>
      <c r="L28" s="156">
        <f t="shared" si="3"/>
        <v>7685.8354871227839</v>
      </c>
      <c r="M28" s="144"/>
      <c r="N28" s="151" t="s">
        <v>60</v>
      </c>
      <c r="O28" s="157">
        <v>279164.90000000002</v>
      </c>
      <c r="P28" s="158">
        <v>4.3524577744499499E-2</v>
      </c>
      <c r="Q28" s="156">
        <f>IF(Berechnung_QS!L28=0,O28*P28,0)</f>
        <v>0</v>
      </c>
      <c r="R28" s="147"/>
      <c r="S28" s="159">
        <f>Berechnung_QS!L28+Q28</f>
        <v>7685.8354871227839</v>
      </c>
    </row>
    <row r="29" spans="1:19" ht="15.75" customHeight="1">
      <c r="A29" s="162" t="s">
        <v>61</v>
      </c>
      <c r="B29" s="163">
        <f>(Bruttoeink!B26*B$11)/1000</f>
        <v>279393.27247416001</v>
      </c>
      <c r="C29" s="163">
        <f>(Bruttoeink!C26*C$11)/1000</f>
        <v>15972.8231172</v>
      </c>
      <c r="D29" s="164">
        <f>(Bruttoeink!D26*D$11)/1000</f>
        <v>142712.22684493251</v>
      </c>
      <c r="E29" s="163">
        <f>(Bruttoeink!E26*E$11)/1000</f>
        <v>9335.6024179245269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168020.65238005703</v>
      </c>
      <c r="J29" s="166">
        <f t="shared" si="1"/>
        <v>0.75</v>
      </c>
      <c r="K29" s="163">
        <f t="shared" si="2"/>
        <v>126015.48928504277</v>
      </c>
      <c r="L29" s="167">
        <f t="shared" si="3"/>
        <v>405408.76175920281</v>
      </c>
      <c r="M29" s="144"/>
      <c r="N29" s="162" t="s">
        <v>61</v>
      </c>
      <c r="O29" s="168">
        <v>7163196.7000000002</v>
      </c>
      <c r="P29" s="169">
        <v>7.3274655440288203E-2</v>
      </c>
      <c r="Q29" s="167">
        <f>IF(Berechnung_QS!L29=0,O29*P29,0)</f>
        <v>0</v>
      </c>
      <c r="R29" s="147"/>
      <c r="S29" s="170">
        <f>Berechnung_QS!L29+Q29</f>
        <v>405408.76175920281</v>
      </c>
    </row>
    <row r="30" spans="1:19" ht="15.75" customHeight="1">
      <c r="A30" s="151" t="s">
        <v>62</v>
      </c>
      <c r="B30" s="152">
        <f>(Bruttoeink!B27*B$11)/1000</f>
        <v>0</v>
      </c>
      <c r="C30" s="152">
        <f>(Bruttoeink!C27*C$11)/1000</f>
        <v>0</v>
      </c>
      <c r="D30" s="153">
        <f>(Bruttoeink!D27*D$11)/1000</f>
        <v>0</v>
      </c>
      <c r="E30" s="152">
        <f>(Bruttoeink!E27*E$11)/1000</f>
        <v>0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0</v>
      </c>
      <c r="I30" s="152">
        <f t="shared" si="0"/>
        <v>0</v>
      </c>
      <c r="J30" s="155">
        <f t="shared" si="1"/>
        <v>0.75</v>
      </c>
      <c r="K30" s="152">
        <f t="shared" si="2"/>
        <v>0</v>
      </c>
      <c r="L30" s="156">
        <f t="shared" si="3"/>
        <v>0</v>
      </c>
      <c r="M30" s="144"/>
      <c r="N30" s="151" t="s">
        <v>62</v>
      </c>
      <c r="O30" s="157">
        <v>3115008.7</v>
      </c>
      <c r="P30" s="158">
        <v>9.9568234353992396E-2</v>
      </c>
      <c r="Q30" s="156">
        <f>IF(Berechnung_QS!L30=0,O30*P30,0)</f>
        <v>310155.9162563252</v>
      </c>
      <c r="R30" s="147"/>
      <c r="S30" s="159">
        <f>Berechnung_QS!L30+Q30</f>
        <v>310155.9162563252</v>
      </c>
    </row>
    <row r="31" spans="1:19" ht="15.75" customHeight="1">
      <c r="A31" s="162" t="s">
        <v>63</v>
      </c>
      <c r="B31" s="163">
        <f>(Bruttoeink!B28*B$11)/1000</f>
        <v>371594.70998721378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109375.24005849056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109375.24005849056</v>
      </c>
      <c r="J31" s="166">
        <f t="shared" si="1"/>
        <v>0.75</v>
      </c>
      <c r="K31" s="163">
        <f t="shared" si="2"/>
        <v>82031.43004386792</v>
      </c>
      <c r="L31" s="167">
        <f t="shared" si="3"/>
        <v>453626.14003108168</v>
      </c>
      <c r="M31" s="144"/>
      <c r="N31" s="162" t="s">
        <v>63</v>
      </c>
      <c r="O31" s="168">
        <v>10967984.800000001</v>
      </c>
      <c r="P31" s="169">
        <v>5.44546566096345E-2</v>
      </c>
      <c r="Q31" s="167">
        <f>IF(Berechnung_QS!L31=0,O31*P31,0)</f>
        <v>0</v>
      </c>
      <c r="R31" s="147"/>
      <c r="S31" s="170">
        <f>Berechnung_QS!L31+Q31</f>
        <v>453626.14003108168</v>
      </c>
    </row>
    <row r="32" spans="1:19" ht="15.75" customHeight="1">
      <c r="A32" s="151" t="s">
        <v>64</v>
      </c>
      <c r="B32" s="152">
        <f>(Bruttoeink!B29*B$11)/1000</f>
        <v>159400.35164780004</v>
      </c>
      <c r="C32" s="152">
        <f>(Bruttoeink!C29*C$11)/1000</f>
        <v>4224.4960964000002</v>
      </c>
      <c r="D32" s="153">
        <f>(Bruttoeink!D29*D$11)/1000</f>
        <v>5852.0805326375003</v>
      </c>
      <c r="E32" s="152">
        <f>(Bruttoeink!E29*E$11)/1000</f>
        <v>35190.480515094336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45267.057144131832</v>
      </c>
      <c r="J32" s="155">
        <f t="shared" si="1"/>
        <v>0.75</v>
      </c>
      <c r="K32" s="152">
        <f t="shared" si="2"/>
        <v>33950.292858098874</v>
      </c>
      <c r="L32" s="156">
        <f t="shared" si="3"/>
        <v>193350.6445058989</v>
      </c>
      <c r="M32" s="144"/>
      <c r="N32" s="151" t="s">
        <v>64</v>
      </c>
      <c r="O32" s="157">
        <v>3860014.6</v>
      </c>
      <c r="P32" s="158">
        <v>6.4483740309571796E-2</v>
      </c>
      <c r="Q32" s="156">
        <f>IF(Berechnung_QS!L32=0,O32*P32,0)</f>
        <v>0</v>
      </c>
      <c r="R32" s="147"/>
      <c r="S32" s="159">
        <f>Berechnung_QS!L32+Q32</f>
        <v>193350.6445058989</v>
      </c>
    </row>
    <row r="33" spans="1:19" ht="15.75" customHeight="1">
      <c r="A33" s="162" t="s">
        <v>65</v>
      </c>
      <c r="B33" s="163">
        <f>(Bruttoeink!B30*B$11)/1000</f>
        <v>286738.93284000002</v>
      </c>
      <c r="C33" s="163">
        <f>(Bruttoeink!C30*C$11)/1000</f>
        <v>25712.471600000001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498821.94943800004</v>
      </c>
      <c r="I33" s="163">
        <f t="shared" si="0"/>
        <v>524534.42103800003</v>
      </c>
      <c r="J33" s="166">
        <f t="shared" si="1"/>
        <v>0.75</v>
      </c>
      <c r="K33" s="163">
        <f t="shared" si="2"/>
        <v>393400.81577850005</v>
      </c>
      <c r="L33" s="167">
        <f t="shared" si="3"/>
        <v>680139.74861850007</v>
      </c>
      <c r="M33" s="144"/>
      <c r="N33" s="162" t="s">
        <v>65</v>
      </c>
      <c r="O33" s="168">
        <v>5888563.5</v>
      </c>
      <c r="P33" s="169">
        <v>0.140920559775153</v>
      </c>
      <c r="Q33" s="167">
        <f>IF(Berechnung_QS!L33=0,O33*P33,0)</f>
        <v>0</v>
      </c>
      <c r="R33" s="147"/>
      <c r="S33" s="170">
        <f>Berechnung_QS!L33+Q33</f>
        <v>680139.74861850007</v>
      </c>
    </row>
    <row r="34" spans="1:19" ht="15.75" customHeight="1">
      <c r="A34" s="151" t="s">
        <v>66</v>
      </c>
      <c r="B34" s="152">
        <f>(Bruttoeink!B31*B$11)/1000</f>
        <v>743262.74222560006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207652.81601037734</v>
      </c>
      <c r="H34" s="154">
        <f>(Bruttoeink!H31*H$11)/1000</f>
        <v>0</v>
      </c>
      <c r="I34" s="152">
        <f t="shared" si="0"/>
        <v>207652.81601037734</v>
      </c>
      <c r="J34" s="155">
        <f t="shared" si="1"/>
        <v>0.75</v>
      </c>
      <c r="K34" s="152">
        <f t="shared" si="2"/>
        <v>155739.612007783</v>
      </c>
      <c r="L34" s="156">
        <f t="shared" si="3"/>
        <v>899002.35423338308</v>
      </c>
      <c r="M34" s="144"/>
      <c r="N34" s="151" t="s">
        <v>66</v>
      </c>
      <c r="O34" s="157">
        <v>14225330.9</v>
      </c>
      <c r="P34" s="158">
        <v>8.6099134784487802E-2</v>
      </c>
      <c r="Q34" s="156">
        <f>IF(Berechnung_QS!L34=0,O34*P34,0)</f>
        <v>0</v>
      </c>
      <c r="R34" s="147"/>
      <c r="S34" s="159">
        <f>Berechnung_QS!L34+Q34</f>
        <v>899002.35423338308</v>
      </c>
    </row>
    <row r="35" spans="1:19" ht="15.75" customHeight="1">
      <c r="A35" s="162" t="s">
        <v>67</v>
      </c>
      <c r="B35" s="163">
        <f>(Bruttoeink!B32*B$11)/1000</f>
        <v>294969.56567600003</v>
      </c>
      <c r="C35" s="163">
        <f>(Bruttoeink!C32*C$11)/1000</f>
        <v>1281.4067700000001</v>
      </c>
      <c r="D35" s="164">
        <f>(Bruttoeink!D32*D$11)/1000</f>
        <v>0</v>
      </c>
      <c r="E35" s="163">
        <f>(Bruttoeink!E32*E$11)/1000</f>
        <v>46.94892452830188</v>
      </c>
      <c r="F35" s="163">
        <f>(Bruttoeink!F32*F$11)/1000</f>
        <v>0</v>
      </c>
      <c r="G35" s="163">
        <f>(Bruttoeink!G32*G$11)/1000</f>
        <v>9458.5009245282999</v>
      </c>
      <c r="H35" s="165">
        <f>(Bruttoeink!H32*H$11)/1000</f>
        <v>10110.735165599999</v>
      </c>
      <c r="I35" s="163">
        <f t="shared" si="0"/>
        <v>20897.591784656601</v>
      </c>
      <c r="J35" s="166">
        <f t="shared" si="1"/>
        <v>0.75</v>
      </c>
      <c r="K35" s="163">
        <f t="shared" si="2"/>
        <v>15673.193838492451</v>
      </c>
      <c r="L35" s="167">
        <f t="shared" si="3"/>
        <v>310642.75951449247</v>
      </c>
      <c r="M35" s="144"/>
      <c r="N35" s="162" t="s">
        <v>67</v>
      </c>
      <c r="O35" s="168">
        <v>4469005.2</v>
      </c>
      <c r="P35" s="169">
        <v>8.2546455822013698E-2</v>
      </c>
      <c r="Q35" s="167">
        <f>IF(Berechnung_QS!L35=0,O35*P35,0)</f>
        <v>0</v>
      </c>
      <c r="R35" s="147"/>
      <c r="S35" s="170">
        <f>Berechnung_QS!L35+Q35</f>
        <v>310642.75951449247</v>
      </c>
    </row>
    <row r="36" spans="1:19" ht="15.75" customHeight="1">
      <c r="A36" s="151" t="s">
        <v>68</v>
      </c>
      <c r="B36" s="152">
        <f>(Bruttoeink!B33*B$11)/1000</f>
        <v>91104.138658000011</v>
      </c>
      <c r="C36" s="152">
        <f>(Bruttoeink!C33*C$11)/1000</f>
        <v>1950.8877440000001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99444.793245283014</v>
      </c>
      <c r="H36" s="154">
        <f>(Bruttoeink!H33*H$11)/1000</f>
        <v>0</v>
      </c>
      <c r="I36" s="152">
        <f t="shared" si="0"/>
        <v>101395.68098928302</v>
      </c>
      <c r="J36" s="155">
        <f t="shared" si="1"/>
        <v>0.75</v>
      </c>
      <c r="K36" s="152">
        <f t="shared" si="2"/>
        <v>76046.760741962265</v>
      </c>
      <c r="L36" s="156">
        <f t="shared" si="3"/>
        <v>167150.89939996228</v>
      </c>
      <c r="M36" s="144"/>
      <c r="N36" s="151" t="s">
        <v>68</v>
      </c>
      <c r="O36" s="157">
        <v>2756972.9</v>
      </c>
      <c r="P36" s="158">
        <v>8.3033559042903493E-2</v>
      </c>
      <c r="Q36" s="156">
        <f>IF(Berechnung_QS!L36=0,O36*P36,0)</f>
        <v>0</v>
      </c>
      <c r="R36" s="147"/>
      <c r="S36" s="159">
        <f>Berechnung_QS!L36+Q36</f>
        <v>167150.89939996228</v>
      </c>
    </row>
    <row r="37" spans="1:19" ht="15.75" customHeight="1">
      <c r="A37" s="162" t="s">
        <v>69</v>
      </c>
      <c r="B37" s="163">
        <f>(Bruttoeink!B34*B$11)/1000</f>
        <v>672026.14897600003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1434739.8626741888</v>
      </c>
      <c r="G37" s="163">
        <f>(Bruttoeink!G34*G$11)/1000</f>
        <v>0</v>
      </c>
      <c r="H37" s="165">
        <f>(Bruttoeink!H34*H$11)/1000</f>
        <v>0</v>
      </c>
      <c r="I37" s="163">
        <f t="shared" si="0"/>
        <v>1434739.8626741888</v>
      </c>
      <c r="J37" s="166">
        <f t="shared" si="1"/>
        <v>0.75</v>
      </c>
      <c r="K37" s="163">
        <f t="shared" si="2"/>
        <v>1076054.8970056416</v>
      </c>
      <c r="L37" s="167">
        <f t="shared" si="3"/>
        <v>1748081.0459816416</v>
      </c>
      <c r="M37" s="144"/>
      <c r="N37" s="162" t="s">
        <v>69</v>
      </c>
      <c r="O37" s="168">
        <v>11884798.6</v>
      </c>
      <c r="P37" s="169">
        <v>0.16213590487737001</v>
      </c>
      <c r="Q37" s="167">
        <f>IF(Berechnung_QS!L37=0,O37*P37,0)</f>
        <v>0</v>
      </c>
      <c r="R37" s="147"/>
      <c r="S37" s="170">
        <f>Berechnung_QS!L37+Q37</f>
        <v>1748081.0459816416</v>
      </c>
    </row>
    <row r="38" spans="1:19" ht="15.75" customHeight="1">
      <c r="A38" s="188" t="s">
        <v>105</v>
      </c>
      <c r="B38" s="190">
        <f>(Bruttoeink!B35*B$11)/1000</f>
        <v>25415.479434940004</v>
      </c>
      <c r="C38" s="172">
        <f>(Bruttoeink!C35*C$11)/1000</f>
        <v>1081.9165534000001</v>
      </c>
      <c r="D38" s="173">
        <f>(Bruttoeink!D35*D$11)/1000</f>
        <v>0</v>
      </c>
      <c r="E38" s="172">
        <f>(Bruttoeink!E35*E$11)/1000</f>
        <v>81.123962264150933</v>
      </c>
      <c r="F38" s="172">
        <f>(Bruttoeink!F35*F$11)/1000</f>
        <v>0</v>
      </c>
      <c r="G38" s="172">
        <f>(Bruttoeink!G35*G$11)/1000</f>
        <v>59694.678509433965</v>
      </c>
      <c r="H38" s="174">
        <f>(Bruttoeink!H35*H$11)/1000</f>
        <v>0</v>
      </c>
      <c r="I38" s="172">
        <f t="shared" si="0"/>
        <v>60857.719025098115</v>
      </c>
      <c r="J38" s="175">
        <f t="shared" si="1"/>
        <v>0.75</v>
      </c>
      <c r="K38" s="172">
        <f t="shared" si="2"/>
        <v>45643.289268823588</v>
      </c>
      <c r="L38" s="191">
        <f t="shared" si="3"/>
        <v>71058.768703763591</v>
      </c>
      <c r="M38" s="144"/>
      <c r="N38" s="171" t="s">
        <v>70</v>
      </c>
      <c r="O38" s="177">
        <v>887695.2</v>
      </c>
      <c r="P38" s="178">
        <v>8.8705042534505299E-2</v>
      </c>
      <c r="Q38" s="176">
        <f>IF(Berechnung_QS!L38=0,O38*P38,0)</f>
        <v>0</v>
      </c>
      <c r="R38" s="147"/>
      <c r="S38" s="192">
        <f>Berechnung_QS!L38+Q38</f>
        <v>71058.768703763591</v>
      </c>
    </row>
    <row r="39" spans="1:19" ht="15.75" customHeight="1">
      <c r="A39" s="179" t="s">
        <v>71</v>
      </c>
      <c r="B39" s="180">
        <f t="shared" ref="B39:I39" si="4">SUM(B13:B38)</f>
        <v>6237390.624233095</v>
      </c>
      <c r="C39" s="180">
        <f t="shared" si="4"/>
        <v>157306.52339779999</v>
      </c>
      <c r="D39" s="181">
        <f t="shared" si="4"/>
        <v>162689.88111248252</v>
      </c>
      <c r="E39" s="180">
        <f t="shared" si="4"/>
        <v>555883.59413377359</v>
      </c>
      <c r="F39" s="180">
        <f t="shared" si="4"/>
        <v>1434739.8626741888</v>
      </c>
      <c r="G39" s="180">
        <f t="shared" si="4"/>
        <v>786173.28048679256</v>
      </c>
      <c r="H39" s="182">
        <f t="shared" si="4"/>
        <v>508932.68460360006</v>
      </c>
      <c r="I39" s="180">
        <f t="shared" si="4"/>
        <v>3605725.8264086377</v>
      </c>
      <c r="J39" s="183">
        <v>0.75</v>
      </c>
      <c r="K39" s="180">
        <f t="shared" si="2"/>
        <v>2704294.3698064783</v>
      </c>
      <c r="L39" s="184">
        <f t="shared" si="3"/>
        <v>8941684.9940395728</v>
      </c>
      <c r="M39" s="144"/>
      <c r="N39" s="179" t="s">
        <v>71</v>
      </c>
      <c r="O39" s="185">
        <f>SUM(O13:O38)</f>
        <v>152494096.80000001</v>
      </c>
      <c r="P39" s="186"/>
      <c r="Q39" s="184">
        <f>SUM(Q13:Q38)</f>
        <v>310155.9162563252</v>
      </c>
      <c r="R39" s="147"/>
      <c r="S39" s="187">
        <f>SUM(S13:S38)</f>
        <v>9251840.9102958981</v>
      </c>
    </row>
    <row r="40" spans="1:19">
      <c r="A40" s="189" t="s">
        <v>106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2012-05-24T14:20:32Z</dcterms:modified>
</cp:coreProperties>
</file>