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/>
  <c r="Q19"/>
  <c r="S19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 s="1"/>
  <c r="Q23"/>
  <c r="S23"/>
  <c r="Q15"/>
  <c r="S15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<sst xmlns="http://schemas.openxmlformats.org/spreadsheetml/2006/main" count="219" uniqueCount="107">
  <si>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</si>
  <si>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</si>
  <si>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</si>
  <si>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</si>
  <si>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</si>
  <si>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</si>
  <si>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</si>
  <si>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FA_2013_20120910</t>
  </si>
  <si>
    <t>SWS</t>
  </si>
  <si>
    <t>RA_2013_20120910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</si>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</sst>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20" fillId="0" borderId="0" xfId="0" applyFont="1" applyFill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5" t="s">
        <v>0</v>
      </c>
      <c r="B1" s="195"/>
      <c r="C1" s="195"/>
      <c r="D1" s="195"/>
      <c r="E1" s="2"/>
    </row>
    <row r="2" spans="1:5" ht="27.75" customHeight="1">
      <c r="A2" s="195" t="s">
        <v>1</v>
      </c>
      <c r="B2" s="195"/>
      <c r="C2" s="195"/>
      <c r="D2" s="195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6" t="str">
        <f>"Bemessungsjahr "&amp;C31</f>
        <v>Bemessungsjahr 2008</v>
      </c>
      <c r="B4" s="196"/>
      <c r="C4" s="196"/>
      <c r="D4" s="196"/>
      <c r="E4" s="4"/>
    </row>
    <row r="5" spans="1:5" ht="18" customHeight="1">
      <c r="A5" s="196" t="str">
        <f>"Referenzjahr "&amp;C30</f>
        <v>Referenzjahr 2013</v>
      </c>
      <c r="B5" s="196"/>
      <c r="C5" s="196"/>
      <c r="D5" s="196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2013</v>
      </c>
    </row>
    <row r="31" spans="2:3">
      <c r="B31" s="10" t="s">
        <v>11</v>
      </c>
      <c r="C31" s="11">
        <v>2008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2008</v>
      </c>
      <c r="B1" s="13"/>
      <c r="C1" s="13"/>
      <c r="J1" s="14"/>
    </row>
    <row r="2" spans="1:10" ht="31.5" customHeight="1">
      <c r="A2" s="15" t="str">
        <f>"Referenzjahr "&amp;Info!C30</f>
        <v>Referenzjahr 2013</v>
      </c>
      <c r="B2" s="16"/>
      <c r="C2" s="16"/>
      <c r="D2" s="17"/>
      <c r="J2" s="18" t="str">
        <f>Info!C28</f>
        <v>FA_2013_20120910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9"/>
      <c r="B6" s="204" t="s">
        <v>31</v>
      </c>
      <c r="C6" s="206" t="s">
        <v>32</v>
      </c>
      <c r="D6" s="201" t="s">
        <v>33</v>
      </c>
      <c r="E6" s="202"/>
      <c r="F6" s="202"/>
      <c r="G6" s="202"/>
      <c r="H6" s="203"/>
      <c r="I6" s="208" t="s">
        <v>34</v>
      </c>
      <c r="J6" s="197" t="s">
        <v>35</v>
      </c>
    </row>
    <row r="7" spans="1:10" ht="45.75" customHeight="1">
      <c r="A7" s="200"/>
      <c r="B7" s="205"/>
      <c r="C7" s="207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9"/>
      <c r="J7" s="198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3913863045</v>
      </c>
      <c r="C10" s="52">
        <v>62885499</v>
      </c>
      <c r="D10" s="53">
        <v>0</v>
      </c>
      <c r="E10" s="54">
        <v>415831785</v>
      </c>
      <c r="F10" s="54">
        <v>0</v>
      </c>
      <c r="G10" s="54">
        <v>0</v>
      </c>
      <c r="H10" s="55">
        <v>0</v>
      </c>
      <c r="I10" s="56">
        <f t="shared" ref="I10:I35" si="0">SUM(C10:H10)</f>
        <v>478717284</v>
      </c>
      <c r="J10" s="57">
        <f t="shared" ref="J10:J36" si="1">SUM(B10:H10)</f>
        <v>4392580329</v>
      </c>
    </row>
    <row r="11" spans="1:10">
      <c r="A11" s="58" t="s">
        <v>46</v>
      </c>
      <c r="B11" s="59">
        <v>1358132843</v>
      </c>
      <c r="C11" s="60">
        <v>66441186</v>
      </c>
      <c r="D11" s="61">
        <v>2944971</v>
      </c>
      <c r="E11" s="59">
        <v>9153902</v>
      </c>
      <c r="F11" s="59">
        <v>0</v>
      </c>
      <c r="G11" s="59">
        <v>106542217</v>
      </c>
      <c r="H11" s="60">
        <v>0</v>
      </c>
      <c r="I11" s="62">
        <f t="shared" si="0"/>
        <v>185082276</v>
      </c>
      <c r="J11" s="63">
        <f t="shared" si="1"/>
        <v>1543215119</v>
      </c>
    </row>
    <row r="12" spans="1:10">
      <c r="A12" s="64" t="s">
        <v>47</v>
      </c>
      <c r="B12" s="54">
        <v>600507592</v>
      </c>
      <c r="C12" s="55">
        <v>1242025</v>
      </c>
      <c r="D12" s="53">
        <v>0</v>
      </c>
      <c r="E12" s="54">
        <v>3846560</v>
      </c>
      <c r="F12" s="54">
        <v>0</v>
      </c>
      <c r="G12" s="54">
        <v>0</v>
      </c>
      <c r="H12" s="55">
        <v>0</v>
      </c>
      <c r="I12" s="65">
        <f t="shared" si="0"/>
        <v>5088585</v>
      </c>
      <c r="J12" s="66">
        <f t="shared" si="1"/>
        <v>605596177</v>
      </c>
    </row>
    <row r="13" spans="1:10">
      <c r="A13" s="58" t="s">
        <v>48</v>
      </c>
      <c r="B13" s="59">
        <v>57741700</v>
      </c>
      <c r="C13" s="60">
        <v>0</v>
      </c>
      <c r="D13" s="61">
        <v>8049103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8049103</v>
      </c>
      <c r="J13" s="63">
        <f t="shared" si="1"/>
        <v>65790803</v>
      </c>
    </row>
    <row r="14" spans="1:10">
      <c r="A14" s="64" t="s">
        <v>49</v>
      </c>
      <c r="B14" s="54">
        <v>215036252</v>
      </c>
      <c r="C14" s="55">
        <v>91459485</v>
      </c>
      <c r="D14" s="53">
        <v>5892239</v>
      </c>
      <c r="E14" s="54">
        <v>2235546</v>
      </c>
      <c r="F14" s="54">
        <v>0</v>
      </c>
      <c r="G14" s="54">
        <v>0</v>
      </c>
      <c r="H14" s="55">
        <v>0</v>
      </c>
      <c r="I14" s="65">
        <f t="shared" si="0"/>
        <v>99587270</v>
      </c>
      <c r="J14" s="66">
        <f t="shared" si="1"/>
        <v>314623522</v>
      </c>
    </row>
    <row r="15" spans="1:10">
      <c r="A15" s="58" t="s">
        <v>50</v>
      </c>
      <c r="B15" s="59">
        <v>62089257</v>
      </c>
      <c r="C15" s="60">
        <v>1077030</v>
      </c>
      <c r="D15" s="61">
        <v>28287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1105317</v>
      </c>
      <c r="J15" s="63">
        <f t="shared" si="1"/>
        <v>63194574</v>
      </c>
    </row>
    <row r="16" spans="1:10">
      <c r="A16" s="64" t="s">
        <v>51</v>
      </c>
      <c r="B16" s="54">
        <v>54921587.899999999</v>
      </c>
      <c r="C16" s="55">
        <v>542434.1</v>
      </c>
      <c r="D16" s="53">
        <v>1908219.7</v>
      </c>
      <c r="E16" s="54">
        <v>0</v>
      </c>
      <c r="F16" s="54">
        <v>0</v>
      </c>
      <c r="G16" s="54">
        <v>0</v>
      </c>
      <c r="H16" s="55">
        <v>0</v>
      </c>
      <c r="I16" s="65">
        <f t="shared" si="0"/>
        <v>2450653.7999999998</v>
      </c>
      <c r="J16" s="66">
        <f t="shared" si="1"/>
        <v>57372241.700000003</v>
      </c>
    </row>
    <row r="17" spans="1:10">
      <c r="A17" s="58" t="s">
        <v>52</v>
      </c>
      <c r="B17" s="59">
        <v>65556211.899999999</v>
      </c>
      <c r="C17" s="60">
        <v>102586.25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102586.25</v>
      </c>
      <c r="J17" s="63">
        <f t="shared" si="1"/>
        <v>65658798.149999999</v>
      </c>
    </row>
    <row r="18" spans="1:10">
      <c r="A18" s="64" t="s">
        <v>53</v>
      </c>
      <c r="B18" s="54">
        <v>506359430</v>
      </c>
      <c r="C18" s="55">
        <v>14281400</v>
      </c>
      <c r="D18" s="53">
        <v>4246126</v>
      </c>
      <c r="E18" s="54">
        <v>3860651</v>
      </c>
      <c r="F18" s="54">
        <v>0</v>
      </c>
      <c r="G18" s="54">
        <v>0</v>
      </c>
      <c r="H18" s="55">
        <v>0</v>
      </c>
      <c r="I18" s="65">
        <f t="shared" si="0"/>
        <v>22388177</v>
      </c>
      <c r="J18" s="66">
        <f t="shared" si="1"/>
        <v>528747607</v>
      </c>
    </row>
    <row r="19" spans="1:10">
      <c r="A19" s="58" t="s">
        <v>54</v>
      </c>
      <c r="B19" s="59">
        <v>440516720.25</v>
      </c>
      <c r="C19" s="60">
        <v>0</v>
      </c>
      <c r="D19" s="61">
        <v>2910606.8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2910606.8</v>
      </c>
      <c r="J19" s="63">
        <f t="shared" si="1"/>
        <v>443427327.05000001</v>
      </c>
    </row>
    <row r="20" spans="1:10">
      <c r="A20" s="64" t="s">
        <v>55</v>
      </c>
      <c r="B20" s="54">
        <v>334145409</v>
      </c>
      <c r="C20" s="55">
        <v>10950352</v>
      </c>
      <c r="D20" s="53">
        <v>409162</v>
      </c>
      <c r="E20" s="54">
        <v>32023861</v>
      </c>
      <c r="F20" s="54">
        <v>0</v>
      </c>
      <c r="G20" s="54">
        <v>77832023</v>
      </c>
      <c r="H20" s="55">
        <v>0</v>
      </c>
      <c r="I20" s="65">
        <f t="shared" si="0"/>
        <v>121215398</v>
      </c>
      <c r="J20" s="66">
        <f t="shared" si="1"/>
        <v>455360807</v>
      </c>
    </row>
    <row r="21" spans="1:10">
      <c r="A21" s="58" t="s">
        <v>56</v>
      </c>
      <c r="B21" s="59">
        <v>610171518</v>
      </c>
      <c r="C21" s="60">
        <v>140333442</v>
      </c>
      <c r="D21" s="61">
        <v>378464</v>
      </c>
      <c r="E21" s="59">
        <v>1190535668</v>
      </c>
      <c r="F21" s="59">
        <v>0</v>
      </c>
      <c r="G21" s="59">
        <v>1442639991</v>
      </c>
      <c r="H21" s="60">
        <v>0</v>
      </c>
      <c r="I21" s="62">
        <f t="shared" si="0"/>
        <v>2773887565</v>
      </c>
      <c r="J21" s="63">
        <f t="shared" si="1"/>
        <v>3384059083</v>
      </c>
    </row>
    <row r="22" spans="1:10">
      <c r="A22" s="64" t="s">
        <v>57</v>
      </c>
      <c r="B22" s="54">
        <v>345100503</v>
      </c>
      <c r="C22" s="55">
        <v>78872303</v>
      </c>
      <c r="D22" s="53">
        <v>407564</v>
      </c>
      <c r="E22" s="54">
        <v>548144904</v>
      </c>
      <c r="F22" s="54">
        <v>0</v>
      </c>
      <c r="G22" s="54">
        <v>928803809</v>
      </c>
      <c r="H22" s="55">
        <v>0</v>
      </c>
      <c r="I22" s="65">
        <f t="shared" si="0"/>
        <v>1556228580</v>
      </c>
      <c r="J22" s="66">
        <f t="shared" si="1"/>
        <v>1901329083</v>
      </c>
    </row>
    <row r="23" spans="1:10">
      <c r="A23" s="58" t="s">
        <v>58</v>
      </c>
      <c r="B23" s="59">
        <v>219313759</v>
      </c>
      <c r="C23" s="60">
        <v>26384165</v>
      </c>
      <c r="D23" s="61">
        <v>254652</v>
      </c>
      <c r="E23" s="59">
        <v>316788915</v>
      </c>
      <c r="F23" s="59">
        <v>0</v>
      </c>
      <c r="G23" s="59">
        <v>0</v>
      </c>
      <c r="H23" s="60">
        <v>0</v>
      </c>
      <c r="I23" s="62">
        <f t="shared" si="0"/>
        <v>343427732</v>
      </c>
      <c r="J23" s="63">
        <f t="shared" si="1"/>
        <v>562741491</v>
      </c>
    </row>
    <row r="24" spans="1:10">
      <c r="A24" s="64" t="s">
        <v>59</v>
      </c>
      <c r="B24" s="54">
        <v>83968774.579999998</v>
      </c>
      <c r="C24" s="55">
        <v>2048063</v>
      </c>
      <c r="D24" s="53">
        <v>12349917.050000001</v>
      </c>
      <c r="E24" s="54">
        <v>3183262.95</v>
      </c>
      <c r="F24" s="54">
        <v>0</v>
      </c>
      <c r="G24" s="54">
        <v>0</v>
      </c>
      <c r="H24" s="55">
        <v>0</v>
      </c>
      <c r="I24" s="65">
        <f t="shared" si="0"/>
        <v>17581243</v>
      </c>
      <c r="J24" s="66">
        <f t="shared" si="1"/>
        <v>101550017.58</v>
      </c>
    </row>
    <row r="25" spans="1:10">
      <c r="A25" s="58" t="s">
        <v>60</v>
      </c>
      <c r="B25" s="59">
        <v>17176113.129999999</v>
      </c>
      <c r="C25" s="60">
        <v>2150808.37</v>
      </c>
      <c r="D25" s="61">
        <v>3090299.9</v>
      </c>
      <c r="E25" s="59">
        <v>730427.85</v>
      </c>
      <c r="F25" s="59">
        <v>0</v>
      </c>
      <c r="G25" s="59">
        <v>0</v>
      </c>
      <c r="H25" s="60">
        <v>0</v>
      </c>
      <c r="I25" s="62">
        <f t="shared" si="0"/>
        <v>5971536.1199999992</v>
      </c>
      <c r="J25" s="63">
        <f t="shared" si="1"/>
        <v>23147649.25</v>
      </c>
    </row>
    <row r="26" spans="1:10">
      <c r="A26" s="64" t="s">
        <v>61</v>
      </c>
      <c r="B26" s="54">
        <v>794701187</v>
      </c>
      <c r="C26" s="55">
        <v>45208163</v>
      </c>
      <c r="D26" s="53">
        <v>434408003</v>
      </c>
      <c r="E26" s="54">
        <v>62830219</v>
      </c>
      <c r="F26" s="54">
        <v>0</v>
      </c>
      <c r="G26" s="54">
        <v>0</v>
      </c>
      <c r="H26" s="55">
        <v>0</v>
      </c>
      <c r="I26" s="65">
        <f t="shared" si="0"/>
        <v>542446385</v>
      </c>
      <c r="J26" s="66">
        <f t="shared" si="1"/>
        <v>1337147572</v>
      </c>
    </row>
    <row r="27" spans="1:10">
      <c r="A27" s="58" t="s">
        <v>62</v>
      </c>
      <c r="B27" s="59">
        <v>678775619</v>
      </c>
      <c r="C27" s="60">
        <v>187185154.87</v>
      </c>
      <c r="D27" s="61">
        <v>18639539.739999998</v>
      </c>
      <c r="E27" s="59">
        <v>68216.649999999994</v>
      </c>
      <c r="F27" s="59">
        <v>0</v>
      </c>
      <c r="G27" s="59">
        <v>0</v>
      </c>
      <c r="H27" s="60">
        <v>59755472.579999998</v>
      </c>
      <c r="I27" s="62">
        <f t="shared" si="0"/>
        <v>265648383.84000003</v>
      </c>
      <c r="J27" s="63">
        <f t="shared" si="1"/>
        <v>944424002.84000003</v>
      </c>
    </row>
    <row r="28" spans="1:10">
      <c r="A28" s="64" t="s">
        <v>63</v>
      </c>
      <c r="B28" s="54">
        <v>844807657</v>
      </c>
      <c r="C28" s="55">
        <v>195152525</v>
      </c>
      <c r="D28" s="53">
        <v>695900</v>
      </c>
      <c r="E28" s="54">
        <v>695108823</v>
      </c>
      <c r="F28" s="54">
        <v>0</v>
      </c>
      <c r="G28" s="54">
        <v>0</v>
      </c>
      <c r="H28" s="55">
        <v>0</v>
      </c>
      <c r="I28" s="65">
        <f t="shared" si="0"/>
        <v>890957248</v>
      </c>
      <c r="J28" s="66">
        <f t="shared" si="1"/>
        <v>1735764905</v>
      </c>
    </row>
    <row r="29" spans="1:10">
      <c r="A29" s="58" t="s">
        <v>64</v>
      </c>
      <c r="B29" s="59">
        <v>436020195.79000002</v>
      </c>
      <c r="C29" s="60">
        <v>33540146.68</v>
      </c>
      <c r="D29" s="61">
        <v>18489141.379999999</v>
      </c>
      <c r="E29" s="59">
        <v>225554990.77000001</v>
      </c>
      <c r="F29" s="59">
        <v>0</v>
      </c>
      <c r="G29" s="59">
        <v>0</v>
      </c>
      <c r="H29" s="60">
        <v>0</v>
      </c>
      <c r="I29" s="62">
        <f t="shared" si="0"/>
        <v>277584278.83000004</v>
      </c>
      <c r="J29" s="63">
        <f t="shared" si="1"/>
        <v>713604474.62</v>
      </c>
    </row>
    <row r="30" spans="1:10">
      <c r="A30" s="64" t="s">
        <v>65</v>
      </c>
      <c r="B30" s="54">
        <v>575825968.84000003</v>
      </c>
      <c r="C30" s="55">
        <v>289747169</v>
      </c>
      <c r="D30" s="53">
        <v>6569532</v>
      </c>
      <c r="E30" s="54">
        <v>0</v>
      </c>
      <c r="F30" s="54">
        <v>0</v>
      </c>
      <c r="G30" s="54">
        <v>0</v>
      </c>
      <c r="H30" s="55">
        <v>2336353768</v>
      </c>
      <c r="I30" s="65">
        <f t="shared" si="0"/>
        <v>2632670469</v>
      </c>
      <c r="J30" s="66">
        <f t="shared" si="1"/>
        <v>3208496437.8400002</v>
      </c>
    </row>
    <row r="31" spans="1:10">
      <c r="A31" s="58" t="s">
        <v>66</v>
      </c>
      <c r="B31" s="59">
        <v>2095068007.1500001</v>
      </c>
      <c r="C31" s="60">
        <v>0</v>
      </c>
      <c r="D31" s="61">
        <v>0</v>
      </c>
      <c r="E31" s="59">
        <v>0</v>
      </c>
      <c r="F31" s="59">
        <v>0</v>
      </c>
      <c r="G31" s="59">
        <v>1365371031</v>
      </c>
      <c r="H31" s="60">
        <v>0</v>
      </c>
      <c r="I31" s="62">
        <f t="shared" si="0"/>
        <v>1365371031</v>
      </c>
      <c r="J31" s="63">
        <f t="shared" si="1"/>
        <v>3460439038.1500001</v>
      </c>
    </row>
    <row r="32" spans="1:10">
      <c r="A32" s="64" t="s">
        <v>67</v>
      </c>
      <c r="B32" s="54">
        <v>813661780.54999995</v>
      </c>
      <c r="C32" s="55">
        <v>4449315.05</v>
      </c>
      <c r="D32" s="53">
        <v>0</v>
      </c>
      <c r="E32" s="54">
        <v>380769.25</v>
      </c>
      <c r="F32" s="54">
        <v>0</v>
      </c>
      <c r="G32" s="54">
        <v>65135111.25</v>
      </c>
      <c r="H32" s="55">
        <v>45044501.950000003</v>
      </c>
      <c r="I32" s="65">
        <f t="shared" si="0"/>
        <v>115009697.5</v>
      </c>
      <c r="J32" s="66">
        <f t="shared" si="1"/>
        <v>928671478.04999995</v>
      </c>
    </row>
    <row r="33" spans="1:10">
      <c r="A33" s="58" t="s">
        <v>68</v>
      </c>
      <c r="B33" s="59">
        <v>267760065</v>
      </c>
      <c r="C33" s="60">
        <v>10214758</v>
      </c>
      <c r="D33" s="61">
        <v>0</v>
      </c>
      <c r="E33" s="59">
        <v>0</v>
      </c>
      <c r="F33" s="59">
        <v>0</v>
      </c>
      <c r="G33" s="59">
        <v>696712104</v>
      </c>
      <c r="H33" s="60">
        <v>0</v>
      </c>
      <c r="I33" s="62">
        <f t="shared" si="0"/>
        <v>706926862</v>
      </c>
      <c r="J33" s="63">
        <f t="shared" si="1"/>
        <v>974686927</v>
      </c>
    </row>
    <row r="34" spans="1:10">
      <c r="A34" s="64" t="s">
        <v>69</v>
      </c>
      <c r="B34" s="54">
        <v>1820522067</v>
      </c>
      <c r="C34" s="55">
        <v>0</v>
      </c>
      <c r="D34" s="53">
        <v>0</v>
      </c>
      <c r="E34" s="54">
        <v>0</v>
      </c>
      <c r="F34" s="54">
        <v>5985630818</v>
      </c>
      <c r="G34" s="54">
        <v>0</v>
      </c>
      <c r="H34" s="55">
        <v>0</v>
      </c>
      <c r="I34" s="65">
        <f t="shared" si="0"/>
        <v>5985630818</v>
      </c>
      <c r="J34" s="66">
        <f t="shared" si="1"/>
        <v>7806152885</v>
      </c>
    </row>
    <row r="35" spans="1:10">
      <c r="A35" s="67" t="s">
        <v>105</v>
      </c>
      <c r="B35" s="189">
        <v>70396773.549999997</v>
      </c>
      <c r="C35" s="68">
        <v>2701770</v>
      </c>
      <c r="D35" s="61">
        <v>0</v>
      </c>
      <c r="E35" s="59">
        <v>374655.55</v>
      </c>
      <c r="F35" s="59">
        <v>0</v>
      </c>
      <c r="G35" s="59">
        <v>391620574</v>
      </c>
      <c r="H35" s="60">
        <v>0</v>
      </c>
      <c r="I35" s="62">
        <f t="shared" si="0"/>
        <v>394696999.55000001</v>
      </c>
      <c r="J35" s="190">
        <f t="shared" si="1"/>
        <v>465093773.10000002</v>
      </c>
    </row>
    <row r="36" spans="1:10">
      <c r="A36" s="5" t="s">
        <v>71</v>
      </c>
      <c r="B36" s="69">
        <f t="shared" ref="B36:I36" si="2">SUM(B10:B35)</f>
        <v>17282140036.639996</v>
      </c>
      <c r="C36" s="70">
        <f t="shared" si="2"/>
        <v>1266969780.3199999</v>
      </c>
      <c r="D36" s="71">
        <f t="shared" si="2"/>
        <v>521671727.56999999</v>
      </c>
      <c r="E36" s="69">
        <f t="shared" si="2"/>
        <v>3510653157.02</v>
      </c>
      <c r="F36" s="69">
        <f t="shared" si="2"/>
        <v>5985630818</v>
      </c>
      <c r="G36" s="69">
        <f t="shared" si="2"/>
        <v>5074656860.25</v>
      </c>
      <c r="H36" s="70">
        <f t="shared" si="2"/>
        <v>2441153742.5299997</v>
      </c>
      <c r="I36" s="71">
        <f t="shared" si="2"/>
        <v>18800736085.689999</v>
      </c>
      <c r="J36" s="72">
        <f t="shared" si="1"/>
        <v>36082876122.329994</v>
      </c>
    </row>
    <row r="37" spans="1:10">
      <c r="A37" s="188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>
      <selection activeCell="A4" sqref="A4"/>
    </sheetView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2008</v>
      </c>
    </row>
    <row r="2" spans="1:4" ht="15.75" customHeight="1">
      <c r="A2" s="74" t="str">
        <f>Bruttoeink!A2</f>
        <v>Referenzjahr 2013</v>
      </c>
    </row>
    <row r="3" spans="1:4" ht="33" customHeight="1">
      <c r="C3" s="75" t="str">
        <f>Info!$C$28</f>
        <v>FA_2013_20120910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396121339.05252099</v>
      </c>
      <c r="D5" s="81"/>
    </row>
    <row r="6" spans="1:4">
      <c r="A6" s="82" t="s">
        <v>76</v>
      </c>
      <c r="B6" s="83" t="str">
        <f>"ASG_"&amp;Info!C30&amp;"_"&amp;Info!C31&amp;".xlsx"</f>
        <v>ASG_2013_2008.xlsx</v>
      </c>
      <c r="C6" s="84">
        <f>Berechnung_QS!O39</f>
        <v>155360262.59999999</v>
      </c>
      <c r="D6" s="81"/>
    </row>
    <row r="7" spans="1:4" ht="24.75" customHeight="1">
      <c r="A7" s="85" t="s">
        <v>77</v>
      </c>
      <c r="B7" s="85"/>
      <c r="C7" s="86">
        <f>ROUND(C6/C5,3)</f>
        <v>0.39200000000000002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2008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2013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FA_2013_20120910</v>
      </c>
      <c r="R3" s="12"/>
    </row>
    <row r="4" spans="1:22" ht="37.5" customHeight="1">
      <c r="A4" s="210" t="str">
        <f>"Berechnung von QS auf der Basis der Bruttolöhne "&amp;Info!C31</f>
        <v>Berechnung von QS auf der Basis der Bruttolöhne 2008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  <c r="N4" s="213" t="s">
        <v>78</v>
      </c>
      <c r="O4" s="214"/>
      <c r="P4" s="214"/>
      <c r="Q4" s="215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0" t="str">
        <f>"Massgebendes Einkommen "&amp;Info!C31</f>
        <v>Massgebendes Einkommen 2008</v>
      </c>
      <c r="P8" s="204" t="s">
        <v>95</v>
      </c>
      <c r="Q8" s="197" t="s">
        <v>96</v>
      </c>
      <c r="R8" s="118"/>
      <c r="S8" s="227" t="s">
        <v>97</v>
      </c>
    </row>
    <row r="9" spans="1:22" s="119" customFormat="1" ht="24" customHeight="1">
      <c r="A9" s="33"/>
      <c r="B9" s="204" t="s">
        <v>31</v>
      </c>
      <c r="C9" s="204" t="s">
        <v>32</v>
      </c>
      <c r="D9" s="201" t="s">
        <v>33</v>
      </c>
      <c r="E9" s="202"/>
      <c r="F9" s="202"/>
      <c r="G9" s="202"/>
      <c r="H9" s="203"/>
      <c r="I9" s="204" t="s">
        <v>98</v>
      </c>
      <c r="J9" s="204" t="s">
        <v>99</v>
      </c>
      <c r="K9" s="204" t="s">
        <v>100</v>
      </c>
      <c r="L9" s="197" t="s">
        <v>101</v>
      </c>
      <c r="M9" s="117"/>
      <c r="N9" s="120"/>
      <c r="O9" s="221"/>
      <c r="P9" s="216"/>
      <c r="Q9" s="217"/>
      <c r="R9" s="118"/>
      <c r="S9" s="228"/>
      <c r="V9" s="121" t="str">
        <f>Info!C28</f>
        <v>FA_2013_20120910</v>
      </c>
    </row>
    <row r="10" spans="1:22" s="119" customFormat="1" ht="69" customHeight="1">
      <c r="A10" s="34"/>
      <c r="B10" s="216"/>
      <c r="C10" s="216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6"/>
      <c r="J10" s="216"/>
      <c r="K10" s="216"/>
      <c r="L10" s="217"/>
      <c r="M10" s="117"/>
      <c r="N10" s="122"/>
      <c r="O10" s="222"/>
      <c r="P10" s="225"/>
      <c r="Q10" s="226"/>
      <c r="R10" s="118"/>
      <c r="S10" s="228"/>
      <c r="U10" s="223" t="str">
        <f>" Standardisierter Steuerertrag (SST) "&amp;Info!C30-1</f>
        <v xml:space="preserve"> Standardisierter Steuerertrag (SST) 2012</v>
      </c>
      <c r="V10" s="224"/>
    </row>
    <row r="11" spans="1:22" s="123" customFormat="1" ht="14.25" customHeight="1">
      <c r="A11" s="124" t="s">
        <v>102</v>
      </c>
      <c r="B11" s="125">
        <f>gamma</f>
        <v>0.39200000000000002</v>
      </c>
      <c r="C11" s="125">
        <f>gamma</f>
        <v>0.39200000000000002</v>
      </c>
      <c r="D11" s="126">
        <f>IF(Info!C31&lt;2006,0.03/sst,0.875*gamma)</f>
        <v>0.34300000000000003</v>
      </c>
      <c r="E11" s="125">
        <f>0.045/sst</f>
        <v>0.16187050359712229</v>
      </c>
      <c r="F11" s="125">
        <f>gamma-0.035/sst</f>
        <v>0.26610071942446045</v>
      </c>
      <c r="G11" s="125">
        <f>0.045/sst</f>
        <v>0.16187050359712229</v>
      </c>
      <c r="H11" s="127">
        <f>0.6*gamma</f>
        <v>0.23519999999999999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ASG_2013_2008.xlsx</v>
      </c>
      <c r="R11" s="131"/>
      <c r="S11" s="132"/>
      <c r="U11" s="218" t="str">
        <f>"Quelle: RA_"&amp;Info!C30-1&amp;".xlsx"</f>
        <v>Quelle: RA_2012.xlsx</v>
      </c>
      <c r="V11" s="219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1534234.3136400001</v>
      </c>
      <c r="C13" s="139">
        <f>(Bruttoeink!C10*C$11)/1000</f>
        <v>24651.115608000004</v>
      </c>
      <c r="D13" s="140">
        <f>(Bruttoeink!D10*D$11)/1000</f>
        <v>0</v>
      </c>
      <c r="E13" s="139">
        <f>(Bruttoeink!E10*E$11)/1000</f>
        <v>67310.900449640292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91962.0160576403</v>
      </c>
      <c r="J13" s="142">
        <f t="shared" ref="J13:J38" si="1">$J$39</f>
        <v>0.75</v>
      </c>
      <c r="K13" s="139">
        <f t="shared" ref="K13:K39" si="2">I13*J13</f>
        <v>68971.512043230221</v>
      </c>
      <c r="L13" s="143">
        <f t="shared" ref="L13:L39" si="3">K13+B13</f>
        <v>1603205.8256832303</v>
      </c>
      <c r="M13" s="144"/>
      <c r="N13" s="138" t="s">
        <v>45</v>
      </c>
      <c r="O13" s="145">
        <v>34207091.100000001</v>
      </c>
      <c r="P13" s="146">
        <v>0</v>
      </c>
      <c r="Q13" s="143">
        <f>IF(Berechnung_QS!L13=0,O13*P13,0)</f>
        <v>0</v>
      </c>
      <c r="R13" s="147"/>
      <c r="S13" s="148">
        <f>Berechnung_QS!L13+Q13</f>
        <v>1603205.8256832303</v>
      </c>
      <c r="U13" s="149" t="s">
        <v>103</v>
      </c>
      <c r="V13" s="150">
        <v>0.27803804540912103</v>
      </c>
    </row>
    <row r="14" spans="1:22" ht="15.75" customHeight="1">
      <c r="A14" s="151" t="s">
        <v>46</v>
      </c>
      <c r="B14" s="152">
        <f>(Bruttoeink!B11*B$11)/1000</f>
        <v>532388.074456</v>
      </c>
      <c r="C14" s="152">
        <f>(Bruttoeink!C11*C$11)/1000</f>
        <v>26044.944911999999</v>
      </c>
      <c r="D14" s="153">
        <f>(Bruttoeink!D11*D$11)/1000</f>
        <v>1010.1250530000001</v>
      </c>
      <c r="E14" s="152">
        <f>(Bruttoeink!E11*E$11)/1000</f>
        <v>1481.746726618705</v>
      </c>
      <c r="F14" s="152">
        <f>(Bruttoeink!F11*F$11)/1000</f>
        <v>0</v>
      </c>
      <c r="G14" s="152">
        <f>(Bruttoeink!G11*G$11)/1000</f>
        <v>17246.042320143886</v>
      </c>
      <c r="H14" s="154">
        <f>(Bruttoeink!H11*H$11)/1000</f>
        <v>0</v>
      </c>
      <c r="I14" s="152">
        <f t="shared" si="0"/>
        <v>45782.859011762586</v>
      </c>
      <c r="J14" s="155">
        <f t="shared" si="1"/>
        <v>0.75</v>
      </c>
      <c r="K14" s="152">
        <f t="shared" si="2"/>
        <v>34337.144258821936</v>
      </c>
      <c r="L14" s="156">
        <f t="shared" si="3"/>
        <v>566725.21871482197</v>
      </c>
      <c r="M14" s="144"/>
      <c r="N14" s="151" t="s">
        <v>46</v>
      </c>
      <c r="O14" s="157">
        <v>15084982.300000001</v>
      </c>
      <c r="P14" s="158">
        <v>0</v>
      </c>
      <c r="Q14" s="156">
        <f>IF(Berechnung_QS!L14=0,O14*P14,0)</f>
        <v>0</v>
      </c>
      <c r="R14" s="147"/>
      <c r="S14" s="159">
        <f>Berechnung_QS!L14+Q14</f>
        <v>566725.21871482197</v>
      </c>
      <c r="U14" s="160" t="s">
        <v>104</v>
      </c>
      <c r="V14" s="161">
        <f>ROUND(V13,3)</f>
        <v>0.27800000000000002</v>
      </c>
    </row>
    <row r="15" spans="1:22" ht="15.75" customHeight="1">
      <c r="A15" s="162" t="s">
        <v>47</v>
      </c>
      <c r="B15" s="163">
        <f>(Bruttoeink!B12*B$11)/1000</f>
        <v>235398.97606400002</v>
      </c>
      <c r="C15" s="163">
        <f>(Bruttoeink!C12*C$11)/1000</f>
        <v>486.87380000000007</v>
      </c>
      <c r="D15" s="164">
        <f>(Bruttoeink!D12*D$11)/1000</f>
        <v>0</v>
      </c>
      <c r="E15" s="163">
        <f>(Bruttoeink!E12*E$11)/1000</f>
        <v>622.64460431654675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1109.5184043165468</v>
      </c>
      <c r="J15" s="166">
        <f t="shared" si="1"/>
        <v>0.75</v>
      </c>
      <c r="K15" s="163">
        <f t="shared" si="2"/>
        <v>832.13880323741012</v>
      </c>
      <c r="L15" s="167">
        <f t="shared" si="3"/>
        <v>236231.11486723743</v>
      </c>
      <c r="M15" s="144"/>
      <c r="N15" s="162" t="s">
        <v>47</v>
      </c>
      <c r="O15" s="168">
        <v>6065954.7999999998</v>
      </c>
      <c r="P15" s="169">
        <v>0</v>
      </c>
      <c r="Q15" s="167">
        <f>IF(Berechnung_QS!L15=0,O15*P15,0)</f>
        <v>0</v>
      </c>
      <c r="R15" s="147"/>
      <c r="S15" s="170">
        <f>Berechnung_QS!L15+Q15</f>
        <v>236231.11486723743</v>
      </c>
    </row>
    <row r="16" spans="1:22" ht="15.75" customHeight="1">
      <c r="A16" s="151" t="s">
        <v>48</v>
      </c>
      <c r="B16" s="152">
        <f>(Bruttoeink!B13*B$11)/1000</f>
        <v>22634.746400000004</v>
      </c>
      <c r="C16" s="152">
        <f>(Bruttoeink!C13*C$11)/1000</f>
        <v>0</v>
      </c>
      <c r="D16" s="153">
        <f>(Bruttoeink!D13*D$11)/1000</f>
        <v>2760.8423290000005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2760.8423290000005</v>
      </c>
      <c r="J16" s="155">
        <f t="shared" si="1"/>
        <v>0.75</v>
      </c>
      <c r="K16" s="152">
        <f t="shared" si="2"/>
        <v>2070.6317467500003</v>
      </c>
      <c r="L16" s="156">
        <f t="shared" si="3"/>
        <v>24705.378146750005</v>
      </c>
      <c r="M16" s="144"/>
      <c r="N16" s="151" t="s">
        <v>48</v>
      </c>
      <c r="O16" s="157">
        <v>427578.5</v>
      </c>
      <c r="P16" s="158">
        <v>0</v>
      </c>
      <c r="Q16" s="156">
        <f>IF(Berechnung_QS!L16=0,O16*P16,0)</f>
        <v>0</v>
      </c>
      <c r="R16" s="147"/>
      <c r="S16" s="159">
        <f>Berechnung_QS!L16+Q16</f>
        <v>24705.378146750005</v>
      </c>
    </row>
    <row r="17" spans="1:19" ht="15.75" customHeight="1">
      <c r="A17" s="162" t="s">
        <v>49</v>
      </c>
      <c r="B17" s="163">
        <f>(Bruttoeink!B14*B$11)/1000</f>
        <v>84294.21078400001</v>
      </c>
      <c r="C17" s="163">
        <f>(Bruttoeink!C14*C$11)/1000</f>
        <v>35852.118120000006</v>
      </c>
      <c r="D17" s="164">
        <f>(Bruttoeink!D14*D$11)/1000</f>
        <v>2021.0379770000002</v>
      </c>
      <c r="E17" s="163">
        <f>(Bruttoeink!E14*E$11)/1000</f>
        <v>361.86895683453236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38235.025053834535</v>
      </c>
      <c r="J17" s="166">
        <f t="shared" si="1"/>
        <v>0.75</v>
      </c>
      <c r="K17" s="163">
        <f t="shared" si="2"/>
        <v>28676.2687903759</v>
      </c>
      <c r="L17" s="167">
        <f t="shared" si="3"/>
        <v>112970.4795743759</v>
      </c>
      <c r="M17" s="144"/>
      <c r="N17" s="162" t="s">
        <v>49</v>
      </c>
      <c r="O17" s="168">
        <v>4994902.5</v>
      </c>
      <c r="P17" s="169">
        <v>0</v>
      </c>
      <c r="Q17" s="167">
        <f>IF(Berechnung_QS!L17=0,O17*P17,0)</f>
        <v>0</v>
      </c>
      <c r="R17" s="147"/>
      <c r="S17" s="170">
        <f>Berechnung_QS!L17+Q17</f>
        <v>112970.4795743759</v>
      </c>
    </row>
    <row r="18" spans="1:19" ht="15.75" customHeight="1">
      <c r="A18" s="151" t="s">
        <v>50</v>
      </c>
      <c r="B18" s="152">
        <f>(Bruttoeink!B15*B$11)/1000</f>
        <v>24338.988744000002</v>
      </c>
      <c r="C18" s="152">
        <f>(Bruttoeink!C15*C$11)/1000</f>
        <v>422.19576000000001</v>
      </c>
      <c r="D18" s="153">
        <f>(Bruttoeink!D15*D$11)/1000</f>
        <v>9.7024410000000003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431.89820100000003</v>
      </c>
      <c r="J18" s="155">
        <f t="shared" si="1"/>
        <v>0.75</v>
      </c>
      <c r="K18" s="152">
        <f t="shared" si="2"/>
        <v>323.92365075000004</v>
      </c>
      <c r="L18" s="156">
        <f t="shared" si="3"/>
        <v>24662.912394750001</v>
      </c>
      <c r="M18" s="144"/>
      <c r="N18" s="151" t="s">
        <v>50</v>
      </c>
      <c r="O18" s="157">
        <v>592625.80000000005</v>
      </c>
      <c r="P18" s="158">
        <v>0</v>
      </c>
      <c r="Q18" s="156">
        <f>IF(Berechnung_QS!L18=0,O18*P18,0)</f>
        <v>0</v>
      </c>
      <c r="R18" s="147"/>
      <c r="S18" s="159">
        <f>Berechnung_QS!L18+Q18</f>
        <v>24662.912394750001</v>
      </c>
    </row>
    <row r="19" spans="1:19" ht="15.75" customHeight="1">
      <c r="A19" s="162" t="s">
        <v>51</v>
      </c>
      <c r="B19" s="163">
        <f>(Bruttoeink!B16*B$11)/1000</f>
        <v>21529.262456799999</v>
      </c>
      <c r="C19" s="163">
        <f>(Bruttoeink!C16*C$11)/1000</f>
        <v>212.63416720000001</v>
      </c>
      <c r="D19" s="164">
        <f>(Bruttoeink!D16*D$11)/1000</f>
        <v>654.51935709999998</v>
      </c>
      <c r="E19" s="163">
        <f>(Bruttoeink!E16*E$11)/1000</f>
        <v>0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867.15352429999996</v>
      </c>
      <c r="J19" s="166">
        <f t="shared" si="1"/>
        <v>0.75</v>
      </c>
      <c r="K19" s="163">
        <f t="shared" si="2"/>
        <v>650.365143225</v>
      </c>
      <c r="L19" s="167">
        <f t="shared" si="3"/>
        <v>22179.627600025</v>
      </c>
      <c r="M19" s="144"/>
      <c r="N19" s="162" t="s">
        <v>51</v>
      </c>
      <c r="O19" s="168">
        <v>1146128.3999999999</v>
      </c>
      <c r="P19" s="169">
        <v>0</v>
      </c>
      <c r="Q19" s="167">
        <f>IF(Berechnung_QS!L19=0,O19*P19,0)</f>
        <v>0</v>
      </c>
      <c r="R19" s="147"/>
      <c r="S19" s="170">
        <f>Berechnung_QS!L19+Q19</f>
        <v>22179.627600025</v>
      </c>
    </row>
    <row r="20" spans="1:19" ht="15.75" customHeight="1">
      <c r="A20" s="151" t="s">
        <v>52</v>
      </c>
      <c r="B20" s="152">
        <f>(Bruttoeink!B17*B$11)/1000</f>
        <v>25698.035064800002</v>
      </c>
      <c r="C20" s="152">
        <f>(Bruttoeink!C17*C$11)/1000</f>
        <v>40.213810000000002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40.213810000000002</v>
      </c>
      <c r="J20" s="155">
        <f t="shared" si="1"/>
        <v>0.75</v>
      </c>
      <c r="K20" s="152">
        <f t="shared" si="2"/>
        <v>30.160357500000003</v>
      </c>
      <c r="L20" s="156">
        <f t="shared" si="3"/>
        <v>25728.195422300003</v>
      </c>
      <c r="M20" s="144"/>
      <c r="N20" s="151" t="s">
        <v>52</v>
      </c>
      <c r="O20" s="157">
        <v>538494.5</v>
      </c>
      <c r="P20" s="158">
        <v>0</v>
      </c>
      <c r="Q20" s="156">
        <f>IF(Berechnung_QS!L20=0,O20*P20,0)</f>
        <v>0</v>
      </c>
      <c r="R20" s="147"/>
      <c r="S20" s="159">
        <f>Berechnung_QS!L20+Q20</f>
        <v>25728.195422300003</v>
      </c>
    </row>
    <row r="21" spans="1:19" ht="15.75" customHeight="1">
      <c r="A21" s="162" t="s">
        <v>53</v>
      </c>
      <c r="B21" s="163">
        <f>(Bruttoeink!B18*B$11)/1000</f>
        <v>198492.89655999999</v>
      </c>
      <c r="C21" s="163">
        <f>(Bruttoeink!C18*C$11)/1000</f>
        <v>5598.3087999999998</v>
      </c>
      <c r="D21" s="164">
        <f>(Bruttoeink!D18*D$11)/1000</f>
        <v>1456.4212180000002</v>
      </c>
      <c r="E21" s="163">
        <f>(Bruttoeink!E18*E$11)/1000</f>
        <v>624.92552158273384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7679.6555395827345</v>
      </c>
      <c r="J21" s="166">
        <f t="shared" si="1"/>
        <v>0.75</v>
      </c>
      <c r="K21" s="163">
        <f t="shared" si="2"/>
        <v>5759.7416546870509</v>
      </c>
      <c r="L21" s="167">
        <f t="shared" si="3"/>
        <v>204252.63821468703</v>
      </c>
      <c r="M21" s="144"/>
      <c r="N21" s="162" t="s">
        <v>53</v>
      </c>
      <c r="O21" s="168">
        <v>4591107</v>
      </c>
      <c r="P21" s="169">
        <v>0</v>
      </c>
      <c r="Q21" s="167">
        <f>IF(Berechnung_QS!L21=0,O21*P21,0)</f>
        <v>0</v>
      </c>
      <c r="R21" s="147"/>
      <c r="S21" s="170">
        <f>Berechnung_QS!L21+Q21</f>
        <v>204252.63821468703</v>
      </c>
    </row>
    <row r="22" spans="1:19" ht="15.75" customHeight="1">
      <c r="A22" s="151" t="s">
        <v>54</v>
      </c>
      <c r="B22" s="152">
        <f>(Bruttoeink!B19*B$11)/1000</f>
        <v>172682.55433799999</v>
      </c>
      <c r="C22" s="152">
        <f>(Bruttoeink!C19*C$11)/1000</f>
        <v>0</v>
      </c>
      <c r="D22" s="153">
        <f>(Bruttoeink!D19*D$11)/1000</f>
        <v>998.33813239999995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998.33813239999995</v>
      </c>
      <c r="J22" s="155">
        <f t="shared" si="1"/>
        <v>0.75</v>
      </c>
      <c r="K22" s="152">
        <f t="shared" si="2"/>
        <v>748.75359929999991</v>
      </c>
      <c r="L22" s="156">
        <f t="shared" si="3"/>
        <v>173431.30793729998</v>
      </c>
      <c r="M22" s="144"/>
      <c r="N22" s="151" t="s">
        <v>54</v>
      </c>
      <c r="O22" s="157">
        <v>4061813.5</v>
      </c>
      <c r="P22" s="158">
        <v>0</v>
      </c>
      <c r="Q22" s="156">
        <f>IF(Berechnung_QS!L22=0,O22*P22,0)</f>
        <v>0</v>
      </c>
      <c r="R22" s="147"/>
      <c r="S22" s="159">
        <f>Berechnung_QS!L22+Q22</f>
        <v>173431.30793729998</v>
      </c>
    </row>
    <row r="23" spans="1:19" ht="15.75" customHeight="1">
      <c r="A23" s="162" t="s">
        <v>55</v>
      </c>
      <c r="B23" s="163">
        <f>(Bruttoeink!B20*B$11)/1000</f>
        <v>130985.00032800001</v>
      </c>
      <c r="C23" s="163">
        <f>(Bruttoeink!C20*C$11)/1000</f>
        <v>4292.5379840000005</v>
      </c>
      <c r="D23" s="164">
        <f>(Bruttoeink!D20*D$11)/1000</f>
        <v>140.34256600000003</v>
      </c>
      <c r="E23" s="163">
        <f>(Bruttoeink!E20*E$11)/1000</f>
        <v>5183.718507194244</v>
      </c>
      <c r="F23" s="163">
        <f>(Bruttoeink!F20*F$11)/1000</f>
        <v>0</v>
      </c>
      <c r="G23" s="163">
        <f>(Bruttoeink!G20*G$11)/1000</f>
        <v>12598.708758992807</v>
      </c>
      <c r="H23" s="165">
        <f>(Bruttoeink!H20*H$11)/1000</f>
        <v>0</v>
      </c>
      <c r="I23" s="163">
        <f t="shared" si="0"/>
        <v>22215.307816187051</v>
      </c>
      <c r="J23" s="166">
        <f t="shared" si="1"/>
        <v>0.75</v>
      </c>
      <c r="K23" s="163">
        <f t="shared" si="2"/>
        <v>16661.480862140288</v>
      </c>
      <c r="L23" s="167">
        <f t="shared" si="3"/>
        <v>147646.4811901403</v>
      </c>
      <c r="M23" s="144"/>
      <c r="N23" s="162" t="s">
        <v>55</v>
      </c>
      <c r="O23" s="168">
        <v>4288401.4000000004</v>
      </c>
      <c r="P23" s="169">
        <v>0</v>
      </c>
      <c r="Q23" s="167">
        <f>IF(Berechnung_QS!L23=0,O23*P23,0)</f>
        <v>0</v>
      </c>
      <c r="R23" s="147"/>
      <c r="S23" s="170">
        <f>Berechnung_QS!L23+Q23</f>
        <v>147646.4811901403</v>
      </c>
    </row>
    <row r="24" spans="1:19" ht="15.75" customHeight="1">
      <c r="A24" s="151" t="s">
        <v>56</v>
      </c>
      <c r="B24" s="152">
        <f>(Bruttoeink!B21*B$11)/1000</f>
        <v>239187.23505600003</v>
      </c>
      <c r="C24" s="152">
        <f>(Bruttoeink!C21*C$11)/1000</f>
        <v>55010.709263999997</v>
      </c>
      <c r="D24" s="153">
        <f>(Bruttoeink!D21*D$11)/1000</f>
        <v>129.813152</v>
      </c>
      <c r="E24" s="152">
        <f>(Bruttoeink!E21*E$11)/1000</f>
        <v>192712.6081294964</v>
      </c>
      <c r="F24" s="152">
        <f>(Bruttoeink!F21*F$11)/1000</f>
        <v>0</v>
      </c>
      <c r="G24" s="152">
        <f>(Bruttoeink!G21*G$11)/1000</f>
        <v>233520.86185251796</v>
      </c>
      <c r="H24" s="154">
        <f>(Bruttoeink!H21*H$11)/1000</f>
        <v>0</v>
      </c>
      <c r="I24" s="152">
        <f t="shared" si="0"/>
        <v>481373.99239801435</v>
      </c>
      <c r="J24" s="155">
        <f t="shared" si="1"/>
        <v>0.75</v>
      </c>
      <c r="K24" s="152">
        <f t="shared" si="2"/>
        <v>361030.49429851078</v>
      </c>
      <c r="L24" s="156">
        <f t="shared" si="3"/>
        <v>600217.72935451078</v>
      </c>
      <c r="M24" s="144"/>
      <c r="N24" s="151" t="s">
        <v>56</v>
      </c>
      <c r="O24" s="157">
        <v>4341824.5999999996</v>
      </c>
      <c r="P24" s="158">
        <v>0</v>
      </c>
      <c r="Q24" s="156">
        <f>IF(Berechnung_QS!L24=0,O24*P24,0)</f>
        <v>0</v>
      </c>
      <c r="R24" s="147"/>
      <c r="S24" s="159">
        <f>Berechnung_QS!L24+Q24</f>
        <v>600217.72935451078</v>
      </c>
    </row>
    <row r="25" spans="1:19" ht="15.75" customHeight="1">
      <c r="A25" s="162" t="s">
        <v>57</v>
      </c>
      <c r="B25" s="163">
        <f>(Bruttoeink!B22*B$11)/1000</f>
        <v>135279.397176</v>
      </c>
      <c r="C25" s="163">
        <f>(Bruttoeink!C22*C$11)/1000</f>
        <v>30917.942776</v>
      </c>
      <c r="D25" s="164">
        <f>(Bruttoeink!D22*D$11)/1000</f>
        <v>139.79445200000001</v>
      </c>
      <c r="E25" s="163">
        <f>(Bruttoeink!E22*E$11)/1000</f>
        <v>88728.491654676254</v>
      </c>
      <c r="F25" s="163">
        <f>(Bruttoeink!F22*F$11)/1000</f>
        <v>0</v>
      </c>
      <c r="G25" s="163">
        <f>(Bruttoeink!G22*G$11)/1000</f>
        <v>150345.94030575539</v>
      </c>
      <c r="H25" s="165">
        <f>(Bruttoeink!H22*H$11)/1000</f>
        <v>0</v>
      </c>
      <c r="I25" s="163">
        <f t="shared" si="0"/>
        <v>270132.16918843164</v>
      </c>
      <c r="J25" s="166">
        <f t="shared" si="1"/>
        <v>0.75</v>
      </c>
      <c r="K25" s="163">
        <f t="shared" si="2"/>
        <v>202599.12689132371</v>
      </c>
      <c r="L25" s="167">
        <f t="shared" si="3"/>
        <v>337878.52406732371</v>
      </c>
      <c r="M25" s="144"/>
      <c r="N25" s="162" t="s">
        <v>57</v>
      </c>
      <c r="O25" s="168">
        <v>6244609.2999999998</v>
      </c>
      <c r="P25" s="169">
        <v>0</v>
      </c>
      <c r="Q25" s="167">
        <f>IF(Berechnung_QS!L25=0,O25*P25,0)</f>
        <v>0</v>
      </c>
      <c r="R25" s="147"/>
      <c r="S25" s="170">
        <f>Berechnung_QS!L25+Q25</f>
        <v>337878.52406732371</v>
      </c>
    </row>
    <row r="26" spans="1:19" ht="15.75" customHeight="1">
      <c r="A26" s="151" t="s">
        <v>58</v>
      </c>
      <c r="B26" s="152">
        <f>(Bruttoeink!B23*B$11)/1000</f>
        <v>85970.993527999992</v>
      </c>
      <c r="C26" s="152">
        <f>(Bruttoeink!C23*C$11)/1000</f>
        <v>10342.59268</v>
      </c>
      <c r="D26" s="153">
        <f>(Bruttoeink!D23*D$11)/1000</f>
        <v>87.345636000000013</v>
      </c>
      <c r="E26" s="152">
        <f>(Bruttoeink!E23*E$11)/1000</f>
        <v>51278.781205035972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61708.719521035971</v>
      </c>
      <c r="J26" s="155">
        <f t="shared" si="1"/>
        <v>0.75</v>
      </c>
      <c r="K26" s="152">
        <f t="shared" si="2"/>
        <v>46281.53964077698</v>
      </c>
      <c r="L26" s="156">
        <f t="shared" si="3"/>
        <v>132252.53316877698</v>
      </c>
      <c r="M26" s="144"/>
      <c r="N26" s="151" t="s">
        <v>58</v>
      </c>
      <c r="O26" s="157">
        <v>1227541.5</v>
      </c>
      <c r="P26" s="158">
        <v>0</v>
      </c>
      <c r="Q26" s="156">
        <f>IF(Berechnung_QS!L26=0,O26*P26,0)</f>
        <v>0</v>
      </c>
      <c r="R26" s="147"/>
      <c r="S26" s="159">
        <f>Berechnung_QS!L26+Q26</f>
        <v>132252.53316877698</v>
      </c>
    </row>
    <row r="27" spans="1:19" ht="15.75" customHeight="1">
      <c r="A27" s="162" t="s">
        <v>59</v>
      </c>
      <c r="B27" s="163">
        <f>(Bruttoeink!B24*B$11)/1000</f>
        <v>32915.759635360002</v>
      </c>
      <c r="C27" s="163">
        <f>(Bruttoeink!C24*C$11)/1000</f>
        <v>802.84069599999998</v>
      </c>
      <c r="D27" s="164">
        <f>(Bruttoeink!D24*D$11)/1000</f>
        <v>4236.0215481499999</v>
      </c>
      <c r="E27" s="163">
        <f>(Bruttoeink!E24*E$11)/1000</f>
        <v>515.27637679856116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5554.1386209485609</v>
      </c>
      <c r="J27" s="166">
        <f t="shared" si="1"/>
        <v>0.75</v>
      </c>
      <c r="K27" s="163">
        <f t="shared" si="2"/>
        <v>4165.6039657114206</v>
      </c>
      <c r="L27" s="167">
        <f t="shared" si="3"/>
        <v>37081.363601071425</v>
      </c>
      <c r="M27" s="144"/>
      <c r="N27" s="162" t="s">
        <v>59</v>
      </c>
      <c r="O27" s="168">
        <v>901632.6</v>
      </c>
      <c r="P27" s="169">
        <v>0</v>
      </c>
      <c r="Q27" s="167">
        <f>IF(Berechnung_QS!L27=0,O27*P27,0)</f>
        <v>0</v>
      </c>
      <c r="R27" s="147"/>
      <c r="S27" s="170">
        <f>Berechnung_QS!L27+Q27</f>
        <v>37081.363601071425</v>
      </c>
    </row>
    <row r="28" spans="1:19" ht="15.75" customHeight="1">
      <c r="A28" s="151" t="s">
        <v>60</v>
      </c>
      <c r="B28" s="152">
        <f>(Bruttoeink!B25*B$11)/1000</f>
        <v>6733.0363469599997</v>
      </c>
      <c r="C28" s="152">
        <f>(Bruttoeink!C25*C$11)/1000</f>
        <v>843.11688104000018</v>
      </c>
      <c r="D28" s="153">
        <f>(Bruttoeink!D25*D$11)/1000</f>
        <v>1059.9728657000001</v>
      </c>
      <c r="E28" s="152">
        <f>(Bruttoeink!E25*E$11)/1000</f>
        <v>118.2347239208633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2021.3244706608634</v>
      </c>
      <c r="J28" s="155">
        <f t="shared" si="1"/>
        <v>0.75</v>
      </c>
      <c r="K28" s="152">
        <f t="shared" si="2"/>
        <v>1515.9933529956475</v>
      </c>
      <c r="L28" s="156">
        <f t="shared" si="3"/>
        <v>8249.0296999556467</v>
      </c>
      <c r="M28" s="144"/>
      <c r="N28" s="151" t="s">
        <v>60</v>
      </c>
      <c r="O28" s="157">
        <v>271966.40000000002</v>
      </c>
      <c r="P28" s="158">
        <v>0</v>
      </c>
      <c r="Q28" s="156">
        <f>IF(Berechnung_QS!L28=0,O28*P28,0)</f>
        <v>0</v>
      </c>
      <c r="R28" s="147"/>
      <c r="S28" s="159">
        <f>Berechnung_QS!L28+Q28</f>
        <v>8249.0296999556467</v>
      </c>
    </row>
    <row r="29" spans="1:19" ht="15.75" customHeight="1">
      <c r="A29" s="162" t="s">
        <v>61</v>
      </c>
      <c r="B29" s="163">
        <f>(Bruttoeink!B26*B$11)/1000</f>
        <v>311522.86530400004</v>
      </c>
      <c r="C29" s="163">
        <f>(Bruttoeink!C26*C$11)/1000</f>
        <v>17721.599896000003</v>
      </c>
      <c r="D29" s="164">
        <f>(Bruttoeink!D26*D$11)/1000</f>
        <v>149001.94502900002</v>
      </c>
      <c r="E29" s="163">
        <f>(Bruttoeink!E26*E$11)/1000</f>
        <v>10170.359190647481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176893.90411564751</v>
      </c>
      <c r="J29" s="166">
        <f t="shared" si="1"/>
        <v>0.75</v>
      </c>
      <c r="K29" s="163">
        <f t="shared" si="2"/>
        <v>132670.42808673563</v>
      </c>
      <c r="L29" s="167">
        <f t="shared" si="3"/>
        <v>444193.29339073563</v>
      </c>
      <c r="M29" s="144"/>
      <c r="N29" s="162" t="s">
        <v>61</v>
      </c>
      <c r="O29" s="168">
        <v>7265321.2000000002</v>
      </c>
      <c r="P29" s="169">
        <v>0</v>
      </c>
      <c r="Q29" s="167">
        <f>IF(Berechnung_QS!L29=0,O29*P29,0)</f>
        <v>0</v>
      </c>
      <c r="R29" s="147"/>
      <c r="S29" s="170">
        <f>Berechnung_QS!L29+Q29</f>
        <v>444193.29339073563</v>
      </c>
    </row>
    <row r="30" spans="1:19" ht="15.75" customHeight="1">
      <c r="A30" s="151" t="s">
        <v>62</v>
      </c>
      <c r="B30" s="152">
        <f>(Bruttoeink!B27*B$11)/1000</f>
        <v>266080.042648</v>
      </c>
      <c r="C30" s="152">
        <f>(Bruttoeink!C27*C$11)/1000</f>
        <v>73376.580709040005</v>
      </c>
      <c r="D30" s="153">
        <f>(Bruttoeink!D27*D$11)/1000</f>
        <v>6393.3621308199999</v>
      </c>
      <c r="E30" s="152">
        <f>(Bruttoeink!E27*E$11)/1000</f>
        <v>11.042263489208631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14054.487150815999</v>
      </c>
      <c r="I30" s="152">
        <f t="shared" si="0"/>
        <v>93835.472254165201</v>
      </c>
      <c r="J30" s="155">
        <f t="shared" si="1"/>
        <v>0.75</v>
      </c>
      <c r="K30" s="152">
        <f t="shared" si="2"/>
        <v>70376.604190623897</v>
      </c>
      <c r="L30" s="156">
        <f t="shared" si="3"/>
        <v>336456.64683862391</v>
      </c>
      <c r="M30" s="144"/>
      <c r="N30" s="151" t="s">
        <v>62</v>
      </c>
      <c r="O30" s="157">
        <v>3158399.3</v>
      </c>
      <c r="P30" s="158">
        <v>0</v>
      </c>
      <c r="Q30" s="156">
        <f>IF(Berechnung_QS!L30=0,O30*P30,0)</f>
        <v>0</v>
      </c>
      <c r="R30" s="147"/>
      <c r="S30" s="159">
        <f>Berechnung_QS!L30+Q30</f>
        <v>336456.64683862391</v>
      </c>
    </row>
    <row r="31" spans="1:19" ht="15.75" customHeight="1">
      <c r="A31" s="162" t="s">
        <v>63</v>
      </c>
      <c r="B31" s="163">
        <f>(Bruttoeink!B28*B$11)/1000</f>
        <v>331164.60154400003</v>
      </c>
      <c r="C31" s="163">
        <f>(Bruttoeink!C28*C$11)/1000</f>
        <v>76499.789799999999</v>
      </c>
      <c r="D31" s="164">
        <f>(Bruttoeink!D28*D$11)/1000</f>
        <v>238.69370000000001</v>
      </c>
      <c r="E31" s="163">
        <f>(Bruttoeink!E28*E$11)/1000</f>
        <v>112517.61523381295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189256.09873381295</v>
      </c>
      <c r="J31" s="166">
        <f t="shared" si="1"/>
        <v>0.75</v>
      </c>
      <c r="K31" s="163">
        <f t="shared" si="2"/>
        <v>141942.07405035972</v>
      </c>
      <c r="L31" s="167">
        <f t="shared" si="3"/>
        <v>473106.67559435975</v>
      </c>
      <c r="M31" s="144"/>
      <c r="N31" s="162" t="s">
        <v>63</v>
      </c>
      <c r="O31" s="168">
        <v>11039095.6</v>
      </c>
      <c r="P31" s="169">
        <v>0</v>
      </c>
      <c r="Q31" s="167">
        <f>IF(Berechnung_QS!L31=0,O31*P31,0)</f>
        <v>0</v>
      </c>
      <c r="R31" s="147"/>
      <c r="S31" s="170">
        <f>Berechnung_QS!L31+Q31</f>
        <v>473106.67559435975</v>
      </c>
    </row>
    <row r="32" spans="1:19" ht="15.75" customHeight="1">
      <c r="A32" s="151" t="s">
        <v>64</v>
      </c>
      <c r="B32" s="152">
        <f>(Bruttoeink!B29*B$11)/1000</f>
        <v>170919.91674968001</v>
      </c>
      <c r="C32" s="152">
        <f>(Bruttoeink!C29*C$11)/1000</f>
        <v>13147.73749856</v>
      </c>
      <c r="D32" s="153">
        <f>(Bruttoeink!D29*D$11)/1000</f>
        <v>6341.7754933400001</v>
      </c>
      <c r="E32" s="152">
        <f>(Bruttoeink!E29*E$11)/1000</f>
        <v>36510.699944784174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56000.212936684169</v>
      </c>
      <c r="J32" s="155">
        <f t="shared" si="1"/>
        <v>0.75</v>
      </c>
      <c r="K32" s="152">
        <f t="shared" si="2"/>
        <v>42000.159702513127</v>
      </c>
      <c r="L32" s="156">
        <f t="shared" si="3"/>
        <v>212920.07645219314</v>
      </c>
      <c r="M32" s="144"/>
      <c r="N32" s="151" t="s">
        <v>64</v>
      </c>
      <c r="O32" s="157">
        <v>3957108.7</v>
      </c>
      <c r="P32" s="158">
        <v>0</v>
      </c>
      <c r="Q32" s="156">
        <f>IF(Berechnung_QS!L32=0,O32*P32,0)</f>
        <v>0</v>
      </c>
      <c r="R32" s="147"/>
      <c r="S32" s="159">
        <f>Berechnung_QS!L32+Q32</f>
        <v>212920.07645219314</v>
      </c>
    </row>
    <row r="33" spans="1:19" ht="15.75" customHeight="1">
      <c r="A33" s="162" t="s">
        <v>65</v>
      </c>
      <c r="B33" s="163">
        <f>(Bruttoeink!B30*B$11)/1000</f>
        <v>225723.77978528003</v>
      </c>
      <c r="C33" s="163">
        <f>(Bruttoeink!C30*C$11)/1000</f>
        <v>113580.89024800001</v>
      </c>
      <c r="D33" s="164">
        <f>(Bruttoeink!D30*D$11)/1000</f>
        <v>2253.3494760000003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549510.40623359999</v>
      </c>
      <c r="I33" s="163">
        <f t="shared" si="0"/>
        <v>665344.64595759998</v>
      </c>
      <c r="J33" s="166">
        <f t="shared" si="1"/>
        <v>0.75</v>
      </c>
      <c r="K33" s="163">
        <f t="shared" si="2"/>
        <v>499008.48446820001</v>
      </c>
      <c r="L33" s="167">
        <f t="shared" si="3"/>
        <v>724732.26425348001</v>
      </c>
      <c r="M33" s="144"/>
      <c r="N33" s="162" t="s">
        <v>65</v>
      </c>
      <c r="O33" s="168">
        <v>6018307.5999999996</v>
      </c>
      <c r="P33" s="169">
        <v>0</v>
      </c>
      <c r="Q33" s="167">
        <f>IF(Berechnung_QS!L33=0,O33*P33,0)</f>
        <v>0</v>
      </c>
      <c r="R33" s="147"/>
      <c r="S33" s="170">
        <f>Berechnung_QS!L33+Q33</f>
        <v>724732.26425348001</v>
      </c>
    </row>
    <row r="34" spans="1:19" ht="15.75" customHeight="1">
      <c r="A34" s="151" t="s">
        <v>66</v>
      </c>
      <c r="B34" s="152">
        <f>(Bruttoeink!B31*B$11)/1000</f>
        <v>821266.65880280011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221013.29638489208</v>
      </c>
      <c r="H34" s="154">
        <f>(Bruttoeink!H31*H$11)/1000</f>
        <v>0</v>
      </c>
      <c r="I34" s="152">
        <f t="shared" si="0"/>
        <v>221013.29638489208</v>
      </c>
      <c r="J34" s="155">
        <f t="shared" si="1"/>
        <v>0.75</v>
      </c>
      <c r="K34" s="152">
        <f t="shared" si="2"/>
        <v>165759.97228866906</v>
      </c>
      <c r="L34" s="156">
        <f t="shared" si="3"/>
        <v>987026.6310914692</v>
      </c>
      <c r="M34" s="144"/>
      <c r="N34" s="151" t="s">
        <v>66</v>
      </c>
      <c r="O34" s="157">
        <v>14756186.800000001</v>
      </c>
      <c r="P34" s="158">
        <v>0</v>
      </c>
      <c r="Q34" s="156">
        <f>IF(Berechnung_QS!L34=0,O34*P34,0)</f>
        <v>0</v>
      </c>
      <c r="R34" s="147"/>
      <c r="S34" s="159">
        <f>Berechnung_QS!L34+Q34</f>
        <v>987026.6310914692</v>
      </c>
    </row>
    <row r="35" spans="1:19" ht="15.75" customHeight="1">
      <c r="A35" s="162" t="s">
        <v>67</v>
      </c>
      <c r="B35" s="163">
        <f>(Bruttoeink!B32*B$11)/1000</f>
        <v>318955.41797559999</v>
      </c>
      <c r="C35" s="163">
        <f>(Bruttoeink!C32*C$11)/1000</f>
        <v>1744.1314995999999</v>
      </c>
      <c r="D35" s="164">
        <f>(Bruttoeink!D32*D$11)/1000</f>
        <v>0</v>
      </c>
      <c r="E35" s="163">
        <f>(Bruttoeink!E32*E$11)/1000</f>
        <v>61.635310251798558</v>
      </c>
      <c r="F35" s="163">
        <f>(Bruttoeink!F32*F$11)/1000</f>
        <v>0</v>
      </c>
      <c r="G35" s="163">
        <f>(Bruttoeink!G32*G$11)/1000</f>
        <v>10543.453259892085</v>
      </c>
      <c r="H35" s="165">
        <f>(Bruttoeink!H32*H$11)/1000</f>
        <v>10594.46685864</v>
      </c>
      <c r="I35" s="163">
        <f t="shared" si="0"/>
        <v>22943.686928383882</v>
      </c>
      <c r="J35" s="166">
        <f t="shared" si="1"/>
        <v>0.75</v>
      </c>
      <c r="K35" s="163">
        <f t="shared" si="2"/>
        <v>17207.76519628791</v>
      </c>
      <c r="L35" s="167">
        <f t="shared" si="3"/>
        <v>336163.18317188788</v>
      </c>
      <c r="M35" s="144"/>
      <c r="N35" s="162" t="s">
        <v>67</v>
      </c>
      <c r="O35" s="168">
        <v>4474522.2</v>
      </c>
      <c r="P35" s="169">
        <v>0</v>
      </c>
      <c r="Q35" s="167">
        <f>IF(Berechnung_QS!L35=0,O35*P35,0)</f>
        <v>0</v>
      </c>
      <c r="R35" s="147"/>
      <c r="S35" s="170">
        <f>Berechnung_QS!L35+Q35</f>
        <v>336163.18317188788</v>
      </c>
    </row>
    <row r="36" spans="1:19" ht="15.75" customHeight="1">
      <c r="A36" s="151" t="s">
        <v>68</v>
      </c>
      <c r="B36" s="152">
        <f>(Bruttoeink!B33*B$11)/1000</f>
        <v>104961.94548000001</v>
      </c>
      <c r="C36" s="152">
        <f>(Bruttoeink!C33*C$11)/1000</f>
        <v>4004.1851360000001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112777.13913669065</v>
      </c>
      <c r="H36" s="154">
        <f>(Bruttoeink!H33*H$11)/1000</f>
        <v>0</v>
      </c>
      <c r="I36" s="152">
        <f t="shared" si="0"/>
        <v>116781.32427269065</v>
      </c>
      <c r="J36" s="155">
        <f t="shared" si="1"/>
        <v>0.75</v>
      </c>
      <c r="K36" s="152">
        <f t="shared" si="2"/>
        <v>87585.993204517988</v>
      </c>
      <c r="L36" s="156">
        <f t="shared" si="3"/>
        <v>192547.93868451798</v>
      </c>
      <c r="M36" s="144"/>
      <c r="N36" s="151" t="s">
        <v>68</v>
      </c>
      <c r="O36" s="157">
        <v>2749136.5</v>
      </c>
      <c r="P36" s="158">
        <v>0</v>
      </c>
      <c r="Q36" s="156">
        <f>IF(Berechnung_QS!L36=0,O36*P36,0)</f>
        <v>0</v>
      </c>
      <c r="R36" s="147"/>
      <c r="S36" s="159">
        <f>Berechnung_QS!L36+Q36</f>
        <v>192547.93868451798</v>
      </c>
    </row>
    <row r="37" spans="1:19" ht="15.75" customHeight="1">
      <c r="A37" s="162" t="s">
        <v>69</v>
      </c>
      <c r="B37" s="163">
        <f>(Bruttoeink!B34*B$11)/1000</f>
        <v>713644.65026400005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1592780.6668790216</v>
      </c>
      <c r="G37" s="163">
        <f>(Bruttoeink!G34*G$11)/1000</f>
        <v>0</v>
      </c>
      <c r="H37" s="165">
        <f>(Bruttoeink!H34*H$11)/1000</f>
        <v>0</v>
      </c>
      <c r="I37" s="163">
        <f t="shared" si="0"/>
        <v>1592780.6668790216</v>
      </c>
      <c r="J37" s="166">
        <f t="shared" si="1"/>
        <v>0.75</v>
      </c>
      <c r="K37" s="163">
        <f t="shared" si="2"/>
        <v>1194585.5001592662</v>
      </c>
      <c r="L37" s="167">
        <f t="shared" si="3"/>
        <v>1908230.1504232662</v>
      </c>
      <c r="M37" s="144"/>
      <c r="N37" s="162" t="s">
        <v>69</v>
      </c>
      <c r="O37" s="168">
        <v>12073946</v>
      </c>
      <c r="P37" s="169">
        <v>0</v>
      </c>
      <c r="Q37" s="167">
        <f>IF(Berechnung_QS!L37=0,O37*P37,0)</f>
        <v>0</v>
      </c>
      <c r="R37" s="147"/>
      <c r="S37" s="170">
        <f>Berechnung_QS!L37+Q37</f>
        <v>1908230.1504232662</v>
      </c>
    </row>
    <row r="38" spans="1:19" ht="15.75" customHeight="1">
      <c r="A38" s="171" t="s">
        <v>70</v>
      </c>
      <c r="B38" s="192">
        <f>(Bruttoeink!B35*B$11)/1000</f>
        <v>27595.535231600003</v>
      </c>
      <c r="C38" s="172">
        <f>(Bruttoeink!C35*C$11)/1000</f>
        <v>1059.09384</v>
      </c>
      <c r="D38" s="173">
        <f>(Bruttoeink!D35*D$11)/1000</f>
        <v>0</v>
      </c>
      <c r="E38" s="172">
        <f>(Bruttoeink!E35*E$11)/1000</f>
        <v>60.645682553956831</v>
      </c>
      <c r="F38" s="172">
        <f>(Bruttoeink!F35*F$11)/1000</f>
        <v>0</v>
      </c>
      <c r="G38" s="172">
        <f>(Bruttoeink!G35*G$11)/1000</f>
        <v>63391.819532374102</v>
      </c>
      <c r="H38" s="174">
        <f>(Bruttoeink!H35*H$11)/1000</f>
        <v>0</v>
      </c>
      <c r="I38" s="172">
        <f t="shared" si="0"/>
        <v>64511.559054928061</v>
      </c>
      <c r="J38" s="175">
        <f t="shared" si="1"/>
        <v>0.75</v>
      </c>
      <c r="K38" s="172">
        <f t="shared" si="2"/>
        <v>48383.669291196042</v>
      </c>
      <c r="L38" s="193">
        <f t="shared" si="3"/>
        <v>75979.204522796048</v>
      </c>
      <c r="M38" s="144"/>
      <c r="N38" s="171" t="s">
        <v>70</v>
      </c>
      <c r="O38" s="177">
        <v>881584.5</v>
      </c>
      <c r="P38" s="178">
        <v>0</v>
      </c>
      <c r="Q38" s="176">
        <f>IF(Berechnung_QS!L38=0,O38*P38,0)</f>
        <v>0</v>
      </c>
      <c r="R38" s="147"/>
      <c r="S38" s="194">
        <f>Berechnung_QS!L38+Q38</f>
        <v>75979.204522796048</v>
      </c>
    </row>
    <row r="39" spans="1:19" ht="15.75" customHeight="1">
      <c r="A39" s="179" t="s">
        <v>71</v>
      </c>
      <c r="B39" s="180">
        <f t="shared" ref="B39:I39" si="4">SUM(B13:B38)</f>
        <v>6774598.8943628799</v>
      </c>
      <c r="C39" s="180">
        <f t="shared" si="4"/>
        <v>496652.15388544003</v>
      </c>
      <c r="D39" s="181">
        <f t="shared" si="4"/>
        <v>178933.40255651003</v>
      </c>
      <c r="E39" s="180">
        <f t="shared" si="4"/>
        <v>568271.19448165479</v>
      </c>
      <c r="F39" s="180">
        <f t="shared" si="4"/>
        <v>1592780.6668790216</v>
      </c>
      <c r="G39" s="180">
        <f t="shared" si="4"/>
        <v>821437.26155125897</v>
      </c>
      <c r="H39" s="182">
        <f t="shared" si="4"/>
        <v>574159.36024305597</v>
      </c>
      <c r="I39" s="180">
        <f t="shared" si="4"/>
        <v>4232234.0395969413</v>
      </c>
      <c r="J39" s="183">
        <v>0.75</v>
      </c>
      <c r="K39" s="180">
        <f t="shared" si="2"/>
        <v>3174175.529697706</v>
      </c>
      <c r="L39" s="184">
        <f t="shared" si="3"/>
        <v>9948774.4240605868</v>
      </c>
      <c r="M39" s="144"/>
      <c r="N39" s="179" t="s">
        <v>71</v>
      </c>
      <c r="O39" s="185">
        <f>SUM(O13:O38)</f>
        <v>155360262.59999999</v>
      </c>
      <c r="P39" s="186"/>
      <c r="Q39" s="184">
        <f>SUM(Q13:Q38)</f>
        <v>0</v>
      </c>
      <c r="R39" s="147"/>
      <c r="S39" s="187">
        <f>SUM(S13:S38)</f>
        <v>9948774.4240605868</v>
      </c>
    </row>
    <row r="40" spans="1:19">
      <c r="A40" s="191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2012-09-25T09:46:20Z</dcterms:modified>
</cp:coreProperties>
</file>