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 iterateDelta="252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C11" i="4" s="1"/>
  <c r="B6" i="3"/>
  <c r="C3"/>
  <c r="A1"/>
  <c r="I36" i="2"/>
  <c r="H36"/>
  <c r="G36"/>
  <c r="F36"/>
  <c r="E36"/>
  <c r="D36"/>
  <c r="C36"/>
  <c r="B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2"/>
  <c r="A2"/>
  <c r="A2" i="3" s="1"/>
  <c r="A1" i="2"/>
  <c r="A5" i="1"/>
  <c r="A2" i="4" s="1"/>
  <c r="A4" i="1"/>
  <c r="G13" i="4" l="1"/>
  <c r="G16"/>
  <c r="G18"/>
  <c r="G20"/>
  <c r="G22"/>
  <c r="G24"/>
  <c r="G26"/>
  <c r="G28"/>
  <c r="G30"/>
  <c r="G32"/>
  <c r="G34"/>
  <c r="G36"/>
  <c r="G38"/>
  <c r="E13"/>
  <c r="E16"/>
  <c r="E18"/>
  <c r="E20"/>
  <c r="E22"/>
  <c r="E24"/>
  <c r="E26"/>
  <c r="E28"/>
  <c r="E30"/>
  <c r="E32"/>
  <c r="E34"/>
  <c r="E36"/>
  <c r="E38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B11"/>
  <c r="C13"/>
  <c r="C16"/>
  <c r="C18"/>
  <c r="C20"/>
  <c r="C22"/>
  <c r="J36" i="2"/>
  <c r="D11" i="4"/>
  <c r="F11"/>
  <c r="H11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G39" l="1"/>
  <c r="E39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9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8"/>
  <c r="D36"/>
  <c r="I36" s="1"/>
  <c r="K36" s="1"/>
  <c r="D34"/>
  <c r="D32"/>
  <c r="I32" s="1"/>
  <c r="K32" s="1"/>
  <c r="D30"/>
  <c r="D28"/>
  <c r="I28" s="1"/>
  <c r="K28" s="1"/>
  <c r="D26"/>
  <c r="D24"/>
  <c r="I24" s="1"/>
  <c r="K24" s="1"/>
  <c r="D22"/>
  <c r="D20"/>
  <c r="I20" s="1"/>
  <c r="K20" s="1"/>
  <c r="D18"/>
  <c r="D16"/>
  <c r="I16" s="1"/>
  <c r="K16" s="1"/>
  <c r="D13"/>
  <c r="D37"/>
  <c r="I37" s="1"/>
  <c r="K37" s="1"/>
  <c r="D35"/>
  <c r="D33"/>
  <c r="I33" s="1"/>
  <c r="K33" s="1"/>
  <c r="D31"/>
  <c r="D29"/>
  <c r="I29" s="1"/>
  <c r="K29" s="1"/>
  <c r="D27"/>
  <c r="D25"/>
  <c r="I25" s="1"/>
  <c r="K25" s="1"/>
  <c r="D23"/>
  <c r="D21"/>
  <c r="I21" s="1"/>
  <c r="K21" s="1"/>
  <c r="D19"/>
  <c r="D17"/>
  <c r="I17" s="1"/>
  <c r="K17" s="1"/>
  <c r="D15"/>
  <c r="D14"/>
  <c r="I14" s="1"/>
  <c r="K14" s="1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I22"/>
  <c r="K22" s="1"/>
  <c r="L22" s="1"/>
  <c r="I18"/>
  <c r="K18" s="1"/>
  <c r="L18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L14" l="1"/>
  <c r="L17"/>
  <c r="L21"/>
  <c r="L25"/>
  <c r="L29"/>
  <c r="L33"/>
  <c r="L37"/>
  <c r="L16"/>
  <c r="L20"/>
  <c r="L24"/>
  <c r="L28"/>
  <c r="L32"/>
  <c r="L36"/>
  <c r="Q17"/>
  <c r="S17" s="1"/>
  <c r="Q25"/>
  <c r="S25" s="1"/>
  <c r="Q33"/>
  <c r="S33" s="1"/>
  <c r="Q16"/>
  <c r="S16" s="1"/>
  <c r="Q24"/>
  <c r="S24" s="1"/>
  <c r="Q28"/>
  <c r="S28" s="1"/>
  <c r="Q36"/>
  <c r="S36" s="1"/>
  <c r="Q14"/>
  <c r="S14" s="1"/>
  <c r="Q21"/>
  <c r="S21" s="1"/>
  <c r="Q29"/>
  <c r="S29" s="1"/>
  <c r="Q37"/>
  <c r="S37" s="1"/>
  <c r="Q20"/>
  <c r="S20" s="1"/>
  <c r="Q32"/>
  <c r="S32" s="1"/>
  <c r="Q35"/>
  <c r="S35" s="1"/>
  <c r="Q27"/>
  <c r="S27" s="1"/>
  <c r="Q19"/>
  <c r="S19" s="1"/>
  <c r="Q38"/>
  <c r="S38" s="1"/>
  <c r="Q30"/>
  <c r="S30" s="1"/>
  <c r="Q18"/>
  <c r="S18" s="1"/>
  <c r="F39"/>
  <c r="Q31"/>
  <c r="S31"/>
  <c r="Q23"/>
  <c r="S23"/>
  <c r="Q15"/>
  <c r="S15"/>
  <c r="Q34"/>
  <c r="S34" s="1"/>
  <c r="Q26"/>
  <c r="S26" s="1"/>
  <c r="Q22"/>
  <c r="S22" s="1"/>
  <c r="B39"/>
  <c r="D39"/>
  <c r="H39"/>
  <c r="I13"/>
  <c r="I39" l="1"/>
  <c r="K39" s="1"/>
  <c r="L39" s="1"/>
  <c r="K13"/>
  <c r="L13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<sst xmlns="http://schemas.openxmlformats.org/spreadsheetml/2006/main" count="217" uniqueCount="105">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</sst>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2009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2014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2014</v>
      </c>
    </row>
    <row r="31" spans="2:3">
      <c r="B31" s="10" t="s">
        <v>11</v>
      </c>
      <c r="C31" s="11">
        <v>2009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2009</v>
      </c>
      <c r="B1" s="13"/>
      <c r="C1" s="13"/>
      <c r="J1" s="14"/>
    </row>
    <row r="2" spans="1:10" ht="31.5" customHeight="1">
      <c r="A2" s="15" t="str">
        <f>"Referenzjahr "&amp;Info!C30</f>
        <v>Referenzjahr 2014</v>
      </c>
      <c r="B2" s="16"/>
      <c r="C2" s="16"/>
      <c r="D2" s="17"/>
      <c r="J2" s="18" t="str">
        <f>Info!C28</f>
        <v>FA_2014_20130902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4148906655.2800002</v>
      </c>
      <c r="C10" s="52">
        <v>59944997.649999999</v>
      </c>
      <c r="D10" s="53">
        <v>0</v>
      </c>
      <c r="E10" s="54">
        <v>440919954.75</v>
      </c>
      <c r="F10" s="54">
        <v>0</v>
      </c>
      <c r="G10" s="54">
        <v>0</v>
      </c>
      <c r="H10" s="55">
        <v>0</v>
      </c>
      <c r="I10" s="56">
        <f t="shared" ref="I10:I35" si="0">SUM(C10:H10)</f>
        <v>500864952.39999998</v>
      </c>
      <c r="J10" s="57">
        <f t="shared" ref="J10:J36" si="1">SUM(B10:H10)</f>
        <v>4649771607.6800003</v>
      </c>
    </row>
    <row r="11" spans="1:10">
      <c r="A11" s="58" t="s">
        <v>46</v>
      </c>
      <c r="B11" s="59">
        <v>1461329811</v>
      </c>
      <c r="C11" s="60">
        <v>63721889</v>
      </c>
      <c r="D11" s="61">
        <v>1406265</v>
      </c>
      <c r="E11" s="59">
        <v>11661952</v>
      </c>
      <c r="F11" s="59">
        <v>0</v>
      </c>
      <c r="G11" s="59">
        <v>100490075</v>
      </c>
      <c r="H11" s="60">
        <v>0</v>
      </c>
      <c r="I11" s="62">
        <f t="shared" si="0"/>
        <v>177280181</v>
      </c>
      <c r="J11" s="63">
        <f t="shared" si="1"/>
        <v>1638609992</v>
      </c>
    </row>
    <row r="12" spans="1:10">
      <c r="A12" s="64" t="s">
        <v>47</v>
      </c>
      <c r="B12" s="54">
        <v>627890762</v>
      </c>
      <c r="C12" s="55">
        <v>938404</v>
      </c>
      <c r="D12" s="53">
        <v>0</v>
      </c>
      <c r="E12" s="54">
        <v>4393812</v>
      </c>
      <c r="F12" s="54">
        <v>0</v>
      </c>
      <c r="G12" s="54">
        <v>0</v>
      </c>
      <c r="H12" s="55">
        <v>0</v>
      </c>
      <c r="I12" s="65">
        <f t="shared" si="0"/>
        <v>5332216</v>
      </c>
      <c r="J12" s="66">
        <f t="shared" si="1"/>
        <v>633222978</v>
      </c>
    </row>
    <row r="13" spans="1:10">
      <c r="A13" s="58" t="s">
        <v>48</v>
      </c>
      <c r="B13" s="59">
        <v>76028754</v>
      </c>
      <c r="C13" s="60">
        <v>0</v>
      </c>
      <c r="D13" s="61">
        <v>9126285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9126285</v>
      </c>
      <c r="J13" s="63">
        <f t="shared" si="1"/>
        <v>85155039</v>
      </c>
    </row>
    <row r="14" spans="1:10">
      <c r="A14" s="64" t="s">
        <v>49</v>
      </c>
      <c r="B14" s="54">
        <v>216789587</v>
      </c>
      <c r="C14" s="55">
        <v>76690101</v>
      </c>
      <c r="D14" s="53">
        <v>5133694</v>
      </c>
      <c r="E14" s="54">
        <v>1488476</v>
      </c>
      <c r="F14" s="54">
        <v>0</v>
      </c>
      <c r="G14" s="54">
        <v>0</v>
      </c>
      <c r="H14" s="55">
        <v>0</v>
      </c>
      <c r="I14" s="65">
        <f t="shared" si="0"/>
        <v>83312271</v>
      </c>
      <c r="J14" s="66">
        <f t="shared" si="1"/>
        <v>300101858</v>
      </c>
    </row>
    <row r="15" spans="1:10">
      <c r="A15" s="58" t="s">
        <v>50</v>
      </c>
      <c r="B15" s="59">
        <v>66495916.399999999</v>
      </c>
      <c r="C15" s="60">
        <v>1419553.83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1419553.83</v>
      </c>
      <c r="J15" s="63">
        <f t="shared" si="1"/>
        <v>67915470.230000004</v>
      </c>
    </row>
    <row r="16" spans="1:10">
      <c r="A16" s="64" t="s">
        <v>51</v>
      </c>
      <c r="B16" s="54">
        <v>57488983.030000001</v>
      </c>
      <c r="C16" s="55">
        <v>611758.85</v>
      </c>
      <c r="D16" s="53">
        <v>2664436.2000000002</v>
      </c>
      <c r="E16" s="54">
        <v>83089.95</v>
      </c>
      <c r="F16" s="54">
        <v>0</v>
      </c>
      <c r="G16" s="54">
        <v>0</v>
      </c>
      <c r="H16" s="55">
        <v>0</v>
      </c>
      <c r="I16" s="65">
        <f t="shared" si="0"/>
        <v>3359285.0000000005</v>
      </c>
      <c r="J16" s="66">
        <f t="shared" si="1"/>
        <v>60848268.030000009</v>
      </c>
    </row>
    <row r="17" spans="1:10">
      <c r="A17" s="58" t="s">
        <v>52</v>
      </c>
      <c r="B17" s="59">
        <v>67752772</v>
      </c>
      <c r="C17" s="60">
        <v>261016</v>
      </c>
      <c r="D17" s="61">
        <v>621400</v>
      </c>
      <c r="E17" s="59">
        <v>88582</v>
      </c>
      <c r="F17" s="59">
        <v>0</v>
      </c>
      <c r="G17" s="59">
        <v>0</v>
      </c>
      <c r="H17" s="60">
        <v>0</v>
      </c>
      <c r="I17" s="62">
        <f t="shared" si="0"/>
        <v>970998</v>
      </c>
      <c r="J17" s="63">
        <f t="shared" si="1"/>
        <v>68723770</v>
      </c>
    </row>
    <row r="18" spans="1:10">
      <c r="A18" s="64" t="s">
        <v>53</v>
      </c>
      <c r="B18" s="54">
        <v>495433389</v>
      </c>
      <c r="C18" s="55">
        <v>19909593</v>
      </c>
      <c r="D18" s="53">
        <v>6340335.6299999999</v>
      </c>
      <c r="E18" s="54">
        <v>4387387</v>
      </c>
      <c r="F18" s="54">
        <v>0</v>
      </c>
      <c r="G18" s="54">
        <v>0</v>
      </c>
      <c r="H18" s="55">
        <v>0</v>
      </c>
      <c r="I18" s="65">
        <f t="shared" si="0"/>
        <v>30637315.629999999</v>
      </c>
      <c r="J18" s="66">
        <f t="shared" si="1"/>
        <v>526070704.63</v>
      </c>
    </row>
    <row r="19" spans="1:10">
      <c r="A19" s="58" t="s">
        <v>54</v>
      </c>
      <c r="B19" s="59">
        <v>474029410</v>
      </c>
      <c r="C19" s="60">
        <v>0</v>
      </c>
      <c r="D19" s="61">
        <v>3338470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3338470</v>
      </c>
      <c r="J19" s="63">
        <f t="shared" si="1"/>
        <v>477367880</v>
      </c>
    </row>
    <row r="20" spans="1:10">
      <c r="A20" s="64" t="s">
        <v>55</v>
      </c>
      <c r="B20" s="54">
        <v>357075871</v>
      </c>
      <c r="C20" s="55">
        <v>12544844</v>
      </c>
      <c r="D20" s="53">
        <v>906451</v>
      </c>
      <c r="E20" s="54">
        <v>32135092</v>
      </c>
      <c r="F20" s="54">
        <v>0</v>
      </c>
      <c r="G20" s="54">
        <v>79634919</v>
      </c>
      <c r="H20" s="55">
        <v>0</v>
      </c>
      <c r="I20" s="65">
        <f t="shared" si="0"/>
        <v>125221306</v>
      </c>
      <c r="J20" s="66">
        <f t="shared" si="1"/>
        <v>482297177</v>
      </c>
    </row>
    <row r="21" spans="1:10">
      <c r="A21" s="58" t="s">
        <v>56</v>
      </c>
      <c r="B21" s="59">
        <v>649797906</v>
      </c>
      <c r="C21" s="60">
        <v>140298852</v>
      </c>
      <c r="D21" s="61">
        <v>803209</v>
      </c>
      <c r="E21" s="59">
        <v>1224628389</v>
      </c>
      <c r="F21" s="59">
        <v>0</v>
      </c>
      <c r="G21" s="59">
        <v>1735672911</v>
      </c>
      <c r="H21" s="60">
        <v>0</v>
      </c>
      <c r="I21" s="62">
        <f t="shared" si="0"/>
        <v>3101403361</v>
      </c>
      <c r="J21" s="63">
        <f t="shared" si="1"/>
        <v>3751201267</v>
      </c>
    </row>
    <row r="22" spans="1:10">
      <c r="A22" s="64" t="s">
        <v>57</v>
      </c>
      <c r="B22" s="54">
        <v>374510501</v>
      </c>
      <c r="C22" s="55">
        <v>72573961</v>
      </c>
      <c r="D22" s="53">
        <v>988777</v>
      </c>
      <c r="E22" s="54">
        <v>589665047</v>
      </c>
      <c r="F22" s="54">
        <v>0</v>
      </c>
      <c r="G22" s="54">
        <v>931654219</v>
      </c>
      <c r="H22" s="55">
        <v>0</v>
      </c>
      <c r="I22" s="65">
        <f t="shared" si="0"/>
        <v>1594882004</v>
      </c>
      <c r="J22" s="66">
        <f t="shared" si="1"/>
        <v>1969392505</v>
      </c>
    </row>
    <row r="23" spans="1:10">
      <c r="A23" s="58" t="s">
        <v>58</v>
      </c>
      <c r="B23" s="59">
        <v>251489648.34999999</v>
      </c>
      <c r="C23" s="60">
        <v>17246856.75</v>
      </c>
      <c r="D23" s="61">
        <v>223219.75</v>
      </c>
      <c r="E23" s="59">
        <v>317312778.05000001</v>
      </c>
      <c r="F23" s="59">
        <v>0</v>
      </c>
      <c r="G23" s="59">
        <v>0</v>
      </c>
      <c r="H23" s="60">
        <v>0</v>
      </c>
      <c r="I23" s="62">
        <f t="shared" si="0"/>
        <v>334782854.55000001</v>
      </c>
      <c r="J23" s="63">
        <f t="shared" si="1"/>
        <v>586272502.9000001</v>
      </c>
    </row>
    <row r="24" spans="1:10">
      <c r="A24" s="64" t="s">
        <v>59</v>
      </c>
      <c r="B24" s="54">
        <v>92361097</v>
      </c>
      <c r="C24" s="55">
        <v>2364796</v>
      </c>
      <c r="D24" s="53">
        <v>11681006</v>
      </c>
      <c r="E24" s="54">
        <v>3667493</v>
      </c>
      <c r="F24" s="54">
        <v>0</v>
      </c>
      <c r="G24" s="54">
        <v>0</v>
      </c>
      <c r="H24" s="55">
        <v>0</v>
      </c>
      <c r="I24" s="65">
        <f t="shared" si="0"/>
        <v>17713295</v>
      </c>
      <c r="J24" s="66">
        <f t="shared" si="1"/>
        <v>110074392</v>
      </c>
    </row>
    <row r="25" spans="1:10">
      <c r="A25" s="58" t="s">
        <v>60</v>
      </c>
      <c r="B25" s="59">
        <v>17043994.57</v>
      </c>
      <c r="C25" s="60">
        <v>2073066.57</v>
      </c>
      <c r="D25" s="61">
        <v>3302269.6</v>
      </c>
      <c r="E25" s="59">
        <v>749607.55</v>
      </c>
      <c r="F25" s="59">
        <v>0</v>
      </c>
      <c r="G25" s="59">
        <v>0</v>
      </c>
      <c r="H25" s="60">
        <v>0</v>
      </c>
      <c r="I25" s="62">
        <f t="shared" si="0"/>
        <v>6124943.7199999997</v>
      </c>
      <c r="J25" s="63">
        <f t="shared" si="1"/>
        <v>23168938.290000003</v>
      </c>
    </row>
    <row r="26" spans="1:10">
      <c r="A26" s="64" t="s">
        <v>61</v>
      </c>
      <c r="B26" s="54">
        <v>816855527</v>
      </c>
      <c r="C26" s="55">
        <v>52295239</v>
      </c>
      <c r="D26" s="53">
        <v>418156097</v>
      </c>
      <c r="E26" s="54">
        <v>63717130</v>
      </c>
      <c r="F26" s="54">
        <v>0</v>
      </c>
      <c r="G26" s="54">
        <v>0</v>
      </c>
      <c r="H26" s="55">
        <v>0</v>
      </c>
      <c r="I26" s="65">
        <f t="shared" si="0"/>
        <v>534168466</v>
      </c>
      <c r="J26" s="66">
        <f t="shared" si="1"/>
        <v>1351023993</v>
      </c>
    </row>
    <row r="27" spans="1:10">
      <c r="A27" s="58" t="s">
        <v>62</v>
      </c>
      <c r="B27" s="59">
        <v>724529059</v>
      </c>
      <c r="C27" s="60">
        <v>194718109</v>
      </c>
      <c r="D27" s="61">
        <v>20253326</v>
      </c>
      <c r="E27" s="59">
        <v>0</v>
      </c>
      <c r="F27" s="59">
        <v>0</v>
      </c>
      <c r="G27" s="59">
        <v>0</v>
      </c>
      <c r="H27" s="60">
        <v>64994622</v>
      </c>
      <c r="I27" s="62">
        <f t="shared" si="0"/>
        <v>279966057</v>
      </c>
      <c r="J27" s="63">
        <f t="shared" si="1"/>
        <v>1004495116</v>
      </c>
    </row>
    <row r="28" spans="1:10">
      <c r="A28" s="64" t="s">
        <v>63</v>
      </c>
      <c r="B28" s="54">
        <v>990509245</v>
      </c>
      <c r="C28" s="55">
        <v>209673261</v>
      </c>
      <c r="D28" s="53">
        <v>1359717</v>
      </c>
      <c r="E28" s="54">
        <v>735186354</v>
      </c>
      <c r="F28" s="54">
        <v>0</v>
      </c>
      <c r="G28" s="54">
        <v>0</v>
      </c>
      <c r="H28" s="55">
        <v>0</v>
      </c>
      <c r="I28" s="65">
        <f t="shared" si="0"/>
        <v>946219332</v>
      </c>
      <c r="J28" s="66">
        <f t="shared" si="1"/>
        <v>1936728577</v>
      </c>
    </row>
    <row r="29" spans="1:10">
      <c r="A29" s="58" t="s">
        <v>64</v>
      </c>
      <c r="B29" s="59">
        <v>483272589.38999999</v>
      </c>
      <c r="C29" s="60">
        <v>33217118.710000001</v>
      </c>
      <c r="D29" s="61">
        <v>16145549.93</v>
      </c>
      <c r="E29" s="59">
        <v>234977758.84999999</v>
      </c>
      <c r="F29" s="59">
        <v>0</v>
      </c>
      <c r="G29" s="59">
        <v>0</v>
      </c>
      <c r="H29" s="60">
        <v>0</v>
      </c>
      <c r="I29" s="62">
        <f t="shared" si="0"/>
        <v>284340427.49000001</v>
      </c>
      <c r="J29" s="63">
        <f t="shared" si="1"/>
        <v>767613016.88</v>
      </c>
    </row>
    <row r="30" spans="1:10">
      <c r="A30" s="64" t="s">
        <v>65</v>
      </c>
      <c r="B30" s="54">
        <v>618990668</v>
      </c>
      <c r="C30" s="55">
        <v>353968216</v>
      </c>
      <c r="D30" s="53">
        <v>11379779</v>
      </c>
      <c r="E30" s="54">
        <v>0</v>
      </c>
      <c r="F30" s="54">
        <v>0</v>
      </c>
      <c r="G30" s="54">
        <v>0</v>
      </c>
      <c r="H30" s="55">
        <v>2379805222</v>
      </c>
      <c r="I30" s="65">
        <f t="shared" si="0"/>
        <v>2745153217</v>
      </c>
      <c r="J30" s="66">
        <f t="shared" si="1"/>
        <v>3364143885</v>
      </c>
    </row>
    <row r="31" spans="1:10">
      <c r="A31" s="58" t="s">
        <v>66</v>
      </c>
      <c r="B31" s="59">
        <v>2609785853.6599998</v>
      </c>
      <c r="C31" s="60">
        <v>0</v>
      </c>
      <c r="D31" s="61">
        <v>0</v>
      </c>
      <c r="E31" s="59">
        <v>0</v>
      </c>
      <c r="F31" s="59">
        <v>0</v>
      </c>
      <c r="G31" s="59">
        <v>1425032010</v>
      </c>
      <c r="H31" s="60">
        <v>0</v>
      </c>
      <c r="I31" s="62">
        <f t="shared" si="0"/>
        <v>1425032010</v>
      </c>
      <c r="J31" s="63">
        <f t="shared" si="1"/>
        <v>4034817863.6599998</v>
      </c>
    </row>
    <row r="32" spans="1:10">
      <c r="A32" s="64" t="s">
        <v>67</v>
      </c>
      <c r="B32" s="54">
        <v>869957557</v>
      </c>
      <c r="C32" s="55">
        <v>6441985</v>
      </c>
      <c r="D32" s="53">
        <v>0</v>
      </c>
      <c r="E32" s="54">
        <v>192264</v>
      </c>
      <c r="F32" s="54">
        <v>0</v>
      </c>
      <c r="G32" s="54">
        <v>65774391</v>
      </c>
      <c r="H32" s="55">
        <v>45589458</v>
      </c>
      <c r="I32" s="65">
        <f t="shared" si="0"/>
        <v>117998098</v>
      </c>
      <c r="J32" s="66">
        <f t="shared" si="1"/>
        <v>987955655</v>
      </c>
    </row>
    <row r="33" spans="1:10">
      <c r="A33" s="58" t="s">
        <v>68</v>
      </c>
      <c r="B33" s="59">
        <v>342904357</v>
      </c>
      <c r="C33" s="60">
        <v>11914611</v>
      </c>
      <c r="D33" s="61">
        <v>0</v>
      </c>
      <c r="E33" s="59">
        <v>108586</v>
      </c>
      <c r="F33" s="59">
        <v>0</v>
      </c>
      <c r="G33" s="59">
        <v>711854982</v>
      </c>
      <c r="H33" s="60">
        <v>0</v>
      </c>
      <c r="I33" s="62">
        <f t="shared" si="0"/>
        <v>723878179</v>
      </c>
      <c r="J33" s="63">
        <f t="shared" si="1"/>
        <v>1066782536</v>
      </c>
    </row>
    <row r="34" spans="1:10">
      <c r="A34" s="64" t="s">
        <v>69</v>
      </c>
      <c r="B34" s="54">
        <v>1684822314</v>
      </c>
      <c r="C34" s="55">
        <v>257240402</v>
      </c>
      <c r="D34" s="53">
        <v>886182</v>
      </c>
      <c r="E34" s="54">
        <v>0</v>
      </c>
      <c r="F34" s="54">
        <v>6476826650</v>
      </c>
      <c r="G34" s="54">
        <v>0</v>
      </c>
      <c r="H34" s="55">
        <v>0</v>
      </c>
      <c r="I34" s="65">
        <f t="shared" si="0"/>
        <v>6734953234</v>
      </c>
      <c r="J34" s="66">
        <f t="shared" si="1"/>
        <v>8419775548</v>
      </c>
    </row>
    <row r="35" spans="1:10">
      <c r="A35" s="67" t="s">
        <v>70</v>
      </c>
      <c r="B35" s="68">
        <v>66502275.869999997</v>
      </c>
      <c r="C35" s="69">
        <v>4447362</v>
      </c>
      <c r="D35" s="61">
        <v>0</v>
      </c>
      <c r="E35" s="59">
        <v>581101.55000000005</v>
      </c>
      <c r="F35" s="59">
        <v>0</v>
      </c>
      <c r="G35" s="59">
        <v>360212881</v>
      </c>
      <c r="H35" s="60">
        <v>0</v>
      </c>
      <c r="I35" s="62">
        <f t="shared" si="0"/>
        <v>365241344.55000001</v>
      </c>
      <c r="J35" s="63">
        <f t="shared" si="1"/>
        <v>431743620.42000002</v>
      </c>
    </row>
    <row r="36" spans="1:10">
      <c r="A36" s="5" t="s">
        <v>71</v>
      </c>
      <c r="B36" s="70">
        <f t="shared" ref="B36:I36" si="2">SUM(B10:B35)</f>
        <v>18642554503.549999</v>
      </c>
      <c r="C36" s="71">
        <f t="shared" si="2"/>
        <v>1594515993.3600001</v>
      </c>
      <c r="D36" s="72">
        <f t="shared" si="2"/>
        <v>514716469.11000001</v>
      </c>
      <c r="E36" s="70">
        <f t="shared" si="2"/>
        <v>3665944854.7000003</v>
      </c>
      <c r="F36" s="70">
        <f t="shared" si="2"/>
        <v>6476826650</v>
      </c>
      <c r="G36" s="70">
        <f t="shared" si="2"/>
        <v>5410326388</v>
      </c>
      <c r="H36" s="71">
        <f t="shared" si="2"/>
        <v>2490389302</v>
      </c>
      <c r="I36" s="72">
        <f t="shared" si="2"/>
        <v>20152719657.170002</v>
      </c>
      <c r="J36" s="73">
        <f t="shared" si="1"/>
        <v>38795274160.720001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2009</v>
      </c>
    </row>
    <row r="2" spans="1:4" ht="15.75" customHeight="1">
      <c r="A2" s="75" t="str">
        <f>Bruttoeink!A2</f>
        <v>Referenzjahr 2014</v>
      </c>
    </row>
    <row r="3" spans="1:4" ht="33" customHeight="1">
      <c r="C3" s="76" t="str">
        <f>Info!$C$28</f>
        <v>FA_2014_20130902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409941795.73513502</v>
      </c>
      <c r="D5" s="82"/>
    </row>
    <row r="6" spans="1:4">
      <c r="A6" s="83" t="s">
        <v>76</v>
      </c>
      <c r="B6" s="84" t="str">
        <f>"ASG_"&amp;Info!C30&amp;"_"&amp;Info!C31&amp;".xlsx"</f>
        <v>ASG_2014_2009.xlsx</v>
      </c>
      <c r="C6" s="85">
        <f>Berechnung_QS!O39</f>
        <v>158381758.59999999</v>
      </c>
      <c r="D6" s="82"/>
    </row>
    <row r="7" spans="1:4" ht="24.75" customHeight="1">
      <c r="A7" s="86" t="s">
        <v>77</v>
      </c>
      <c r="B7" s="86"/>
      <c r="C7" s="87">
        <f>ROUND(C6/C5,3)</f>
        <v>0.38600000000000001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2009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2014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FA_2014_20130902</v>
      </c>
      <c r="R3" s="12"/>
    </row>
    <row r="4" spans="1:22" ht="37.5" customHeight="1">
      <c r="A4" s="218" t="str">
        <f>"Berechnung von QS auf der Basis der Bruttolöhne "&amp;Info!C31</f>
        <v>Berechnung von QS auf der Basis der Bruttolöhne 2009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2009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FA_2014_20130902</v>
      </c>
    </row>
    <row r="10" spans="1:22" s="120" customFormat="1" ht="69" customHeight="1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2013</v>
      </c>
      <c r="V10" s="212"/>
    </row>
    <row r="11" spans="1:22" s="124" customFormat="1" ht="14.25" customHeight="1">
      <c r="A11" s="125" t="s">
        <v>102</v>
      </c>
      <c r="B11" s="126">
        <f>gamma</f>
        <v>0.38600000000000001</v>
      </c>
      <c r="C11" s="126">
        <f>gamma</f>
        <v>0.38600000000000001</v>
      </c>
      <c r="D11" s="127">
        <f>IF(Info!C31&lt;2006,0.03/sst,0.875*gamma)</f>
        <v>0.33774999999999999</v>
      </c>
      <c r="E11" s="126">
        <f>0.045/sst</f>
        <v>0.16129032258064513</v>
      </c>
      <c r="F11" s="126">
        <f>gamma-0.035/sst</f>
        <v>0.26055197132616492</v>
      </c>
      <c r="G11" s="126">
        <f>0.045/sst</f>
        <v>0.16129032258064513</v>
      </c>
      <c r="H11" s="128">
        <f>0.6*gamma</f>
        <v>0.2316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ASG_2014_2009.xlsx</v>
      </c>
      <c r="R11" s="132"/>
      <c r="S11" s="133"/>
      <c r="U11" s="205" t="str">
        <f>"Quelle: RA_"&amp;Info!C30-1&amp;".xlsx"</f>
        <v>Quelle: RA_2013.xlsx</v>
      </c>
      <c r="V11" s="206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1601477.9689380801</v>
      </c>
      <c r="C13" s="140">
        <f>(Bruttoeink!C10*C$11)/1000</f>
        <v>23138.769092900002</v>
      </c>
      <c r="D13" s="141">
        <f>(Bruttoeink!D10*D$11)/1000</f>
        <v>0</v>
      </c>
      <c r="E13" s="140">
        <f>(Bruttoeink!E10*E$11)/1000</f>
        <v>71116.121733870954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94254.890826770948</v>
      </c>
      <c r="J13" s="143">
        <f t="shared" ref="J13:J38" si="1">$J$39</f>
        <v>0.75</v>
      </c>
      <c r="K13" s="140">
        <f t="shared" ref="K13:K39" si="2">I13*J13</f>
        <v>70691.168120078219</v>
      </c>
      <c r="L13" s="144">
        <f t="shared" ref="L13:L39" si="3">K13+B13</f>
        <v>1672169.1370581584</v>
      </c>
      <c r="M13" s="145"/>
      <c r="N13" s="139" t="s">
        <v>45</v>
      </c>
      <c r="O13" s="146">
        <v>34243296.600000001</v>
      </c>
      <c r="P13" s="147">
        <v>0</v>
      </c>
      <c r="Q13" s="144">
        <f>IF(Berechnung_QS!L13=0,O13*P13,0)</f>
        <v>0</v>
      </c>
      <c r="R13" s="148"/>
      <c r="S13" s="149">
        <f>Berechnung_QS!L13+Q13</f>
        <v>1672169.1370581584</v>
      </c>
      <c r="U13" s="150" t="s">
        <v>103</v>
      </c>
      <c r="V13" s="151">
        <v>0.27895430936786297</v>
      </c>
    </row>
    <row r="14" spans="1:22" ht="15.75" customHeight="1">
      <c r="A14" s="152" t="s">
        <v>46</v>
      </c>
      <c r="B14" s="153">
        <f>(Bruttoeink!B11*B$11)/1000</f>
        <v>564073.30704600003</v>
      </c>
      <c r="C14" s="153">
        <f>(Bruttoeink!C11*C$11)/1000</f>
        <v>24596.649153999999</v>
      </c>
      <c r="D14" s="154">
        <f>(Bruttoeink!D11*D$11)/1000</f>
        <v>474.96600374999997</v>
      </c>
      <c r="E14" s="153">
        <f>(Bruttoeink!E11*E$11)/1000</f>
        <v>1880.9599999999996</v>
      </c>
      <c r="F14" s="153">
        <f>(Bruttoeink!F11*F$11)/1000</f>
        <v>0</v>
      </c>
      <c r="G14" s="153">
        <f>(Bruttoeink!G11*G$11)/1000</f>
        <v>16208.076612903222</v>
      </c>
      <c r="H14" s="155">
        <f>(Bruttoeink!H11*H$11)/1000</f>
        <v>0</v>
      </c>
      <c r="I14" s="153">
        <f t="shared" si="0"/>
        <v>43160.651770653218</v>
      </c>
      <c r="J14" s="156">
        <f t="shared" si="1"/>
        <v>0.75</v>
      </c>
      <c r="K14" s="153">
        <f t="shared" si="2"/>
        <v>32370.488827989913</v>
      </c>
      <c r="L14" s="157">
        <f t="shared" si="3"/>
        <v>596443.79587398993</v>
      </c>
      <c r="M14" s="145"/>
      <c r="N14" s="152" t="s">
        <v>46</v>
      </c>
      <c r="O14" s="158">
        <v>15552139.1</v>
      </c>
      <c r="P14" s="159">
        <v>0</v>
      </c>
      <c r="Q14" s="157">
        <f>IF(Berechnung_QS!L14=0,O14*P14,0)</f>
        <v>0</v>
      </c>
      <c r="R14" s="148"/>
      <c r="S14" s="160">
        <f>Berechnung_QS!L14+Q14</f>
        <v>596443.79587398993</v>
      </c>
      <c r="U14" s="161" t="s">
        <v>104</v>
      </c>
      <c r="V14" s="162">
        <f>ROUND(V13,3)</f>
        <v>0.27900000000000003</v>
      </c>
    </row>
    <row r="15" spans="1:22" ht="15.75" customHeight="1">
      <c r="A15" s="163" t="s">
        <v>47</v>
      </c>
      <c r="B15" s="164">
        <f>(Bruttoeink!B12*B$11)/1000</f>
        <v>242365.83413199999</v>
      </c>
      <c r="C15" s="164">
        <f>(Bruttoeink!C12*C$11)/1000</f>
        <v>362.22394400000002</v>
      </c>
      <c r="D15" s="165">
        <f>(Bruttoeink!D12*D$11)/1000</f>
        <v>0</v>
      </c>
      <c r="E15" s="164">
        <f>(Bruttoeink!E12*E$11)/1000</f>
        <v>708.67935483870963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1070.9032988387096</v>
      </c>
      <c r="J15" s="167">
        <f t="shared" si="1"/>
        <v>0.75</v>
      </c>
      <c r="K15" s="164">
        <f t="shared" si="2"/>
        <v>803.17747412903213</v>
      </c>
      <c r="L15" s="168">
        <f t="shared" si="3"/>
        <v>243169.01160612903</v>
      </c>
      <c r="M15" s="145"/>
      <c r="N15" s="163" t="s">
        <v>47</v>
      </c>
      <c r="O15" s="169">
        <v>6340116.2999999998</v>
      </c>
      <c r="P15" s="170">
        <v>0</v>
      </c>
      <c r="Q15" s="168">
        <f>IF(Berechnung_QS!L15=0,O15*P15,0)</f>
        <v>0</v>
      </c>
      <c r="R15" s="148"/>
      <c r="S15" s="171">
        <f>Berechnung_QS!L15+Q15</f>
        <v>243169.01160612903</v>
      </c>
    </row>
    <row r="16" spans="1:22" ht="15.75" customHeight="1">
      <c r="A16" s="152" t="s">
        <v>48</v>
      </c>
      <c r="B16" s="153">
        <f>(Bruttoeink!B13*B$11)/1000</f>
        <v>29347.099043999999</v>
      </c>
      <c r="C16" s="153">
        <f>(Bruttoeink!C13*C$11)/1000</f>
        <v>0</v>
      </c>
      <c r="D16" s="154">
        <f>(Bruttoeink!D13*D$11)/1000</f>
        <v>3082.40275875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3082.40275875</v>
      </c>
      <c r="J16" s="156">
        <f t="shared" si="1"/>
        <v>0.75</v>
      </c>
      <c r="K16" s="153">
        <f t="shared" si="2"/>
        <v>2311.8020690624999</v>
      </c>
      <c r="L16" s="157">
        <f t="shared" si="3"/>
        <v>31658.9011130625</v>
      </c>
      <c r="M16" s="145"/>
      <c r="N16" s="152" t="s">
        <v>48</v>
      </c>
      <c r="O16" s="158">
        <v>450163.3</v>
      </c>
      <c r="P16" s="159">
        <v>0</v>
      </c>
      <c r="Q16" s="157">
        <f>IF(Berechnung_QS!L16=0,O16*P16,0)</f>
        <v>0</v>
      </c>
      <c r="R16" s="148"/>
      <c r="S16" s="160">
        <f>Berechnung_QS!L16+Q16</f>
        <v>31658.9011130625</v>
      </c>
    </row>
    <row r="17" spans="1:19" ht="15.75" customHeight="1">
      <c r="A17" s="163" t="s">
        <v>49</v>
      </c>
      <c r="B17" s="164">
        <f>(Bruttoeink!B14*B$11)/1000</f>
        <v>83680.780582000007</v>
      </c>
      <c r="C17" s="164">
        <f>(Bruttoeink!C14*C$11)/1000</f>
        <v>29602.378986</v>
      </c>
      <c r="D17" s="165">
        <f>(Bruttoeink!D14*D$11)/1000</f>
        <v>1733.9051485</v>
      </c>
      <c r="E17" s="164">
        <f>(Bruttoeink!E14*E$11)/1000</f>
        <v>240.07677419354835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31576.360908693547</v>
      </c>
      <c r="J17" s="167">
        <f t="shared" si="1"/>
        <v>0.75</v>
      </c>
      <c r="K17" s="164">
        <f t="shared" si="2"/>
        <v>23682.27068152016</v>
      </c>
      <c r="L17" s="168">
        <f t="shared" si="3"/>
        <v>107363.05126352017</v>
      </c>
      <c r="M17" s="145"/>
      <c r="N17" s="163" t="s">
        <v>49</v>
      </c>
      <c r="O17" s="169">
        <v>5351185.7</v>
      </c>
      <c r="P17" s="170">
        <v>0</v>
      </c>
      <c r="Q17" s="168">
        <f>IF(Berechnung_QS!L17=0,O17*P17,0)</f>
        <v>0</v>
      </c>
      <c r="R17" s="148"/>
      <c r="S17" s="171">
        <f>Berechnung_QS!L17+Q17</f>
        <v>107363.05126352017</v>
      </c>
    </row>
    <row r="18" spans="1:19" ht="15.75" customHeight="1">
      <c r="A18" s="152" t="s">
        <v>50</v>
      </c>
      <c r="B18" s="153">
        <f>(Bruttoeink!B15*B$11)/1000</f>
        <v>25667.423730399998</v>
      </c>
      <c r="C18" s="153">
        <f>(Bruttoeink!C15*C$11)/1000</f>
        <v>547.94777838000005</v>
      </c>
      <c r="D18" s="154">
        <f>(Bruttoeink!D15*D$11)/1000</f>
        <v>0</v>
      </c>
      <c r="E18" s="153">
        <f>(Bruttoeink!E15*E$11)/1000</f>
        <v>0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547.94777838000005</v>
      </c>
      <c r="J18" s="156">
        <f t="shared" si="1"/>
        <v>0.75</v>
      </c>
      <c r="K18" s="153">
        <f t="shared" si="2"/>
        <v>410.96083378500003</v>
      </c>
      <c r="L18" s="157">
        <f t="shared" si="3"/>
        <v>26078.384564184998</v>
      </c>
      <c r="M18" s="145"/>
      <c r="N18" s="152" t="s">
        <v>50</v>
      </c>
      <c r="O18" s="158">
        <v>615749.80000000005</v>
      </c>
      <c r="P18" s="159">
        <v>0</v>
      </c>
      <c r="Q18" s="157">
        <f>IF(Berechnung_QS!L18=0,O18*P18,0)</f>
        <v>0</v>
      </c>
      <c r="R18" s="148"/>
      <c r="S18" s="160">
        <f>Berechnung_QS!L18+Q18</f>
        <v>26078.384564184998</v>
      </c>
    </row>
    <row r="19" spans="1:19" ht="15.75" customHeight="1">
      <c r="A19" s="163" t="s">
        <v>51</v>
      </c>
      <c r="B19" s="164">
        <f>(Bruttoeink!B16*B$11)/1000</f>
        <v>22190.747449580002</v>
      </c>
      <c r="C19" s="164">
        <f>(Bruttoeink!C16*C$11)/1000</f>
        <v>236.13891609999999</v>
      </c>
      <c r="D19" s="165">
        <f>(Bruttoeink!D16*D$11)/1000</f>
        <v>899.91332654999997</v>
      </c>
      <c r="E19" s="164">
        <f>(Bruttoeink!E16*E$11)/1000</f>
        <v>13.401604838709675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1149.4538474887097</v>
      </c>
      <c r="J19" s="167">
        <f t="shared" si="1"/>
        <v>0.75</v>
      </c>
      <c r="K19" s="164">
        <f t="shared" si="2"/>
        <v>862.09038561653233</v>
      </c>
      <c r="L19" s="168">
        <f t="shared" si="3"/>
        <v>23052.837835196533</v>
      </c>
      <c r="M19" s="145"/>
      <c r="N19" s="163" t="s">
        <v>51</v>
      </c>
      <c r="O19" s="169">
        <v>1139289.3</v>
      </c>
      <c r="P19" s="170">
        <v>0</v>
      </c>
      <c r="Q19" s="168">
        <f>IF(Berechnung_QS!L19=0,O19*P19,0)</f>
        <v>0</v>
      </c>
      <c r="R19" s="148"/>
      <c r="S19" s="171">
        <f>Berechnung_QS!L19+Q19</f>
        <v>23052.837835196533</v>
      </c>
    </row>
    <row r="20" spans="1:19" ht="15.75" customHeight="1">
      <c r="A20" s="152" t="s">
        <v>52</v>
      </c>
      <c r="B20" s="153">
        <f>(Bruttoeink!B17*B$11)/1000</f>
        <v>26152.569992000001</v>
      </c>
      <c r="C20" s="153">
        <f>(Bruttoeink!C17*C$11)/1000</f>
        <v>100.75217600000001</v>
      </c>
      <c r="D20" s="154">
        <f>(Bruttoeink!D17*D$11)/1000</f>
        <v>209.87785</v>
      </c>
      <c r="E20" s="153">
        <f>(Bruttoeink!E17*E$11)/1000</f>
        <v>14.287419354838706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324.91744535483872</v>
      </c>
      <c r="J20" s="156">
        <f t="shared" si="1"/>
        <v>0.75</v>
      </c>
      <c r="K20" s="153">
        <f t="shared" si="2"/>
        <v>243.68808401612904</v>
      </c>
      <c r="L20" s="157">
        <f t="shared" si="3"/>
        <v>26396.258076016129</v>
      </c>
      <c r="M20" s="145"/>
      <c r="N20" s="152" t="s">
        <v>52</v>
      </c>
      <c r="O20" s="158">
        <v>544001.80000000005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26396.258076016129</v>
      </c>
    </row>
    <row r="21" spans="1:19" ht="15.75" customHeight="1">
      <c r="A21" s="163" t="s">
        <v>53</v>
      </c>
      <c r="B21" s="164">
        <f>(Bruttoeink!B18*B$11)/1000</f>
        <v>191237.28815400001</v>
      </c>
      <c r="C21" s="164">
        <f>(Bruttoeink!C18*C$11)/1000</f>
        <v>7685.1028980000001</v>
      </c>
      <c r="D21" s="165">
        <f>(Bruttoeink!D18*D$11)/1000</f>
        <v>2141.4483590324999</v>
      </c>
      <c r="E21" s="164">
        <f>(Bruttoeink!E18*E$11)/1000</f>
        <v>707.6430645161289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10534.19432154863</v>
      </c>
      <c r="J21" s="167">
        <f t="shared" si="1"/>
        <v>0.75</v>
      </c>
      <c r="K21" s="164">
        <f t="shared" si="2"/>
        <v>7900.645741161472</v>
      </c>
      <c r="L21" s="168">
        <f t="shared" si="3"/>
        <v>199137.93389516149</v>
      </c>
      <c r="M21" s="145"/>
      <c r="N21" s="163" t="s">
        <v>53</v>
      </c>
      <c r="O21" s="169">
        <v>4522711.0999999996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199137.93389516149</v>
      </c>
    </row>
    <row r="22" spans="1:19" ht="15.75" customHeight="1">
      <c r="A22" s="152" t="s">
        <v>54</v>
      </c>
      <c r="B22" s="153">
        <f>(Bruttoeink!B19*B$11)/1000</f>
        <v>182975.35225999999</v>
      </c>
      <c r="C22" s="153">
        <f>(Bruttoeink!C19*C$11)/1000</f>
        <v>0</v>
      </c>
      <c r="D22" s="154">
        <f>(Bruttoeink!D19*D$11)/1000</f>
        <v>1127.5682425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1127.5682425</v>
      </c>
      <c r="J22" s="156">
        <f t="shared" si="1"/>
        <v>0.75</v>
      </c>
      <c r="K22" s="153">
        <f t="shared" si="2"/>
        <v>845.676181875</v>
      </c>
      <c r="L22" s="157">
        <f t="shared" si="3"/>
        <v>183821.02844187498</v>
      </c>
      <c r="M22" s="145"/>
      <c r="N22" s="152" t="s">
        <v>54</v>
      </c>
      <c r="O22" s="158">
        <v>4271885.2</v>
      </c>
      <c r="P22" s="159">
        <v>0</v>
      </c>
      <c r="Q22" s="157">
        <f>IF(Berechnung_QS!L22=0,O22*P22,0)</f>
        <v>0</v>
      </c>
      <c r="R22" s="148"/>
      <c r="S22" s="160">
        <f>Berechnung_QS!L22+Q22</f>
        <v>183821.02844187498</v>
      </c>
    </row>
    <row r="23" spans="1:19" ht="15.75" customHeight="1">
      <c r="A23" s="163" t="s">
        <v>55</v>
      </c>
      <c r="B23" s="164">
        <f>(Bruttoeink!B20*B$11)/1000</f>
        <v>137831.28620599999</v>
      </c>
      <c r="C23" s="164">
        <f>(Bruttoeink!C20*C$11)/1000</f>
        <v>4842.309784</v>
      </c>
      <c r="D23" s="165">
        <f>(Bruttoeink!D20*D$11)/1000</f>
        <v>306.15382525000001</v>
      </c>
      <c r="E23" s="164">
        <f>(Bruttoeink!E20*E$11)/1000</f>
        <v>5183.0793548387082</v>
      </c>
      <c r="F23" s="164">
        <f>(Bruttoeink!F20*F$11)/1000</f>
        <v>0</v>
      </c>
      <c r="G23" s="164">
        <f>(Bruttoeink!G20*G$11)/1000</f>
        <v>12844.341774193546</v>
      </c>
      <c r="H23" s="166">
        <f>(Bruttoeink!H20*H$11)/1000</f>
        <v>0</v>
      </c>
      <c r="I23" s="164">
        <f t="shared" si="0"/>
        <v>23175.884738282257</v>
      </c>
      <c r="J23" s="167">
        <f t="shared" si="1"/>
        <v>0.75</v>
      </c>
      <c r="K23" s="164">
        <f t="shared" si="2"/>
        <v>17381.913553711693</v>
      </c>
      <c r="L23" s="168">
        <f t="shared" si="3"/>
        <v>155213.19975971169</v>
      </c>
      <c r="M23" s="145"/>
      <c r="N23" s="163" t="s">
        <v>55</v>
      </c>
      <c r="O23" s="169">
        <v>4449152.7</v>
      </c>
      <c r="P23" s="170">
        <v>0</v>
      </c>
      <c r="Q23" s="168">
        <f>IF(Berechnung_QS!L23=0,O23*P23,0)</f>
        <v>0</v>
      </c>
      <c r="R23" s="148"/>
      <c r="S23" s="171">
        <f>Berechnung_QS!L23+Q23</f>
        <v>155213.19975971169</v>
      </c>
    </row>
    <row r="24" spans="1:19" ht="15.75" customHeight="1">
      <c r="A24" s="152" t="s">
        <v>56</v>
      </c>
      <c r="B24" s="153">
        <f>(Bruttoeink!B21*B$11)/1000</f>
        <v>250821.99171600002</v>
      </c>
      <c r="C24" s="153">
        <f>(Bruttoeink!C21*C$11)/1000</f>
        <v>54155.356872000004</v>
      </c>
      <c r="D24" s="154">
        <f>(Bruttoeink!D21*D$11)/1000</f>
        <v>271.28383974999997</v>
      </c>
      <c r="E24" s="153">
        <f>(Bruttoeink!E21*E$11)/1000</f>
        <v>197520.70790322579</v>
      </c>
      <c r="F24" s="153">
        <f>(Bruttoeink!F21*F$11)/1000</f>
        <v>0</v>
      </c>
      <c r="G24" s="153">
        <f>(Bruttoeink!G21*G$11)/1000</f>
        <v>279947.24370967736</v>
      </c>
      <c r="H24" s="155">
        <f>(Bruttoeink!H21*H$11)/1000</f>
        <v>0</v>
      </c>
      <c r="I24" s="153">
        <f t="shared" si="0"/>
        <v>531894.59232465317</v>
      </c>
      <c r="J24" s="156">
        <f t="shared" si="1"/>
        <v>0.75</v>
      </c>
      <c r="K24" s="153">
        <f t="shared" si="2"/>
        <v>398920.94424348988</v>
      </c>
      <c r="L24" s="157">
        <f t="shared" si="3"/>
        <v>649742.9359594899</v>
      </c>
      <c r="M24" s="145"/>
      <c r="N24" s="152" t="s">
        <v>56</v>
      </c>
      <c r="O24" s="158">
        <v>4401933.7</v>
      </c>
      <c r="P24" s="159">
        <v>0</v>
      </c>
      <c r="Q24" s="157">
        <f>IF(Berechnung_QS!L24=0,O24*P24,0)</f>
        <v>0</v>
      </c>
      <c r="R24" s="148"/>
      <c r="S24" s="160">
        <f>Berechnung_QS!L24+Q24</f>
        <v>649742.9359594899</v>
      </c>
    </row>
    <row r="25" spans="1:19" ht="15.75" customHeight="1">
      <c r="A25" s="163" t="s">
        <v>57</v>
      </c>
      <c r="B25" s="164">
        <f>(Bruttoeink!B22*B$11)/1000</f>
        <v>144561.05338600001</v>
      </c>
      <c r="C25" s="164">
        <f>(Bruttoeink!C22*C$11)/1000</f>
        <v>28013.548946000003</v>
      </c>
      <c r="D25" s="165">
        <f>(Bruttoeink!D22*D$11)/1000</f>
        <v>333.95943174999996</v>
      </c>
      <c r="E25" s="164">
        <f>(Bruttoeink!E22*E$11)/1000</f>
        <v>95107.265645161271</v>
      </c>
      <c r="F25" s="164">
        <f>(Bruttoeink!F22*F$11)/1000</f>
        <v>0</v>
      </c>
      <c r="G25" s="164">
        <f>(Bruttoeink!G22*G$11)/1000</f>
        <v>150266.80951612903</v>
      </c>
      <c r="H25" s="166">
        <f>(Bruttoeink!H22*H$11)/1000</f>
        <v>0</v>
      </c>
      <c r="I25" s="164">
        <f t="shared" si="0"/>
        <v>273721.58353904029</v>
      </c>
      <c r="J25" s="167">
        <f t="shared" si="1"/>
        <v>0.75</v>
      </c>
      <c r="K25" s="164">
        <f t="shared" si="2"/>
        <v>205291.18765428022</v>
      </c>
      <c r="L25" s="168">
        <f t="shared" si="3"/>
        <v>349852.24104028021</v>
      </c>
      <c r="M25" s="145"/>
      <c r="N25" s="163" t="s">
        <v>57</v>
      </c>
      <c r="O25" s="169">
        <v>6404586.0999999996</v>
      </c>
      <c r="P25" s="170">
        <v>0</v>
      </c>
      <c r="Q25" s="168">
        <f>IF(Berechnung_QS!L25=0,O25*P25,0)</f>
        <v>0</v>
      </c>
      <c r="R25" s="148"/>
      <c r="S25" s="171">
        <f>Berechnung_QS!L25+Q25</f>
        <v>349852.24104028021</v>
      </c>
    </row>
    <row r="26" spans="1:19" ht="15.75" customHeight="1">
      <c r="A26" s="152" t="s">
        <v>58</v>
      </c>
      <c r="B26" s="153">
        <f>(Bruttoeink!B23*B$11)/1000</f>
        <v>97075.004263099996</v>
      </c>
      <c r="C26" s="153">
        <f>(Bruttoeink!C23*C$11)/1000</f>
        <v>6657.2867055000006</v>
      </c>
      <c r="D26" s="154">
        <f>(Bruttoeink!D23*D$11)/1000</f>
        <v>75.392470562500009</v>
      </c>
      <c r="E26" s="153">
        <f>(Bruttoeink!E23*E$11)/1000</f>
        <v>51179.48033064515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57912.159506707649</v>
      </c>
      <c r="J26" s="156">
        <f t="shared" si="1"/>
        <v>0.75</v>
      </c>
      <c r="K26" s="153">
        <f t="shared" si="2"/>
        <v>43434.119630030735</v>
      </c>
      <c r="L26" s="157">
        <f t="shared" si="3"/>
        <v>140509.12389313075</v>
      </c>
      <c r="M26" s="145"/>
      <c r="N26" s="152" t="s">
        <v>58</v>
      </c>
      <c r="O26" s="158">
        <v>1239458.2</v>
      </c>
      <c r="P26" s="159">
        <v>0</v>
      </c>
      <c r="Q26" s="157">
        <f>IF(Berechnung_QS!L26=0,O26*P26,0)</f>
        <v>0</v>
      </c>
      <c r="R26" s="148"/>
      <c r="S26" s="160">
        <f>Berechnung_QS!L26+Q26</f>
        <v>140509.12389313075</v>
      </c>
    </row>
    <row r="27" spans="1:19" ht="15.75" customHeight="1">
      <c r="A27" s="163" t="s">
        <v>59</v>
      </c>
      <c r="B27" s="164">
        <f>(Bruttoeink!B24*B$11)/1000</f>
        <v>35651.383441999998</v>
      </c>
      <c r="C27" s="164">
        <f>(Bruttoeink!C24*C$11)/1000</f>
        <v>912.81125600000007</v>
      </c>
      <c r="D27" s="165">
        <f>(Bruttoeink!D24*D$11)/1000</f>
        <v>3945.2597765</v>
      </c>
      <c r="E27" s="164">
        <f>(Bruttoeink!E24*E$11)/1000</f>
        <v>591.53112903225792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5449.6021615322579</v>
      </c>
      <c r="J27" s="167">
        <f t="shared" si="1"/>
        <v>0.75</v>
      </c>
      <c r="K27" s="164">
        <f t="shared" si="2"/>
        <v>4087.2016211491937</v>
      </c>
      <c r="L27" s="168">
        <f t="shared" si="3"/>
        <v>39738.585063149192</v>
      </c>
      <c r="M27" s="145"/>
      <c r="N27" s="163" t="s">
        <v>59</v>
      </c>
      <c r="O27" s="169">
        <v>925874.3</v>
      </c>
      <c r="P27" s="170">
        <v>0</v>
      </c>
      <c r="Q27" s="168">
        <f>IF(Berechnung_QS!L27=0,O27*P27,0)</f>
        <v>0</v>
      </c>
      <c r="R27" s="148"/>
      <c r="S27" s="171">
        <f>Berechnung_QS!L27+Q27</f>
        <v>39738.585063149192</v>
      </c>
    </row>
    <row r="28" spans="1:19" ht="15.75" customHeight="1">
      <c r="A28" s="152" t="s">
        <v>60</v>
      </c>
      <c r="B28" s="153">
        <f>(Bruttoeink!B25*B$11)/1000</f>
        <v>6578.98190402</v>
      </c>
      <c r="C28" s="153">
        <f>(Bruttoeink!C25*C$11)/1000</f>
        <v>800.20369602000005</v>
      </c>
      <c r="D28" s="154">
        <f>(Bruttoeink!D25*D$11)/1000</f>
        <v>1115.3415574000001</v>
      </c>
      <c r="E28" s="153">
        <f>(Bruttoeink!E25*E$11)/1000</f>
        <v>120.90444354838708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2036.4496969683871</v>
      </c>
      <c r="J28" s="156">
        <f t="shared" si="1"/>
        <v>0.75</v>
      </c>
      <c r="K28" s="153">
        <f t="shared" si="2"/>
        <v>1527.3372727262904</v>
      </c>
      <c r="L28" s="157">
        <f t="shared" si="3"/>
        <v>8106.3191767462904</v>
      </c>
      <c r="M28" s="145"/>
      <c r="N28" s="152" t="s">
        <v>60</v>
      </c>
      <c r="O28" s="158">
        <v>292314.2</v>
      </c>
      <c r="P28" s="159">
        <v>0</v>
      </c>
      <c r="Q28" s="157">
        <f>IF(Berechnung_QS!L28=0,O28*P28,0)</f>
        <v>0</v>
      </c>
      <c r="R28" s="148"/>
      <c r="S28" s="160">
        <f>Berechnung_QS!L28+Q28</f>
        <v>8106.3191767462904</v>
      </c>
    </row>
    <row r="29" spans="1:19" ht="15.75" customHeight="1">
      <c r="A29" s="163" t="s">
        <v>61</v>
      </c>
      <c r="B29" s="164">
        <f>(Bruttoeink!B26*B$11)/1000</f>
        <v>315306.23342200002</v>
      </c>
      <c r="C29" s="164">
        <f>(Bruttoeink!C26*C$11)/1000</f>
        <v>20185.962254000002</v>
      </c>
      <c r="D29" s="165">
        <f>(Bruttoeink!D26*D$11)/1000</f>
        <v>141232.22176175</v>
      </c>
      <c r="E29" s="164">
        <f>(Bruttoeink!E26*E$11)/1000</f>
        <v>10276.956451612901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171695.14046736291</v>
      </c>
      <c r="J29" s="167">
        <f t="shared" si="1"/>
        <v>0.75</v>
      </c>
      <c r="K29" s="164">
        <f t="shared" si="2"/>
        <v>128771.35535052218</v>
      </c>
      <c r="L29" s="168">
        <f t="shared" si="3"/>
        <v>444077.58877252217</v>
      </c>
      <c r="M29" s="145"/>
      <c r="N29" s="163" t="s">
        <v>61</v>
      </c>
      <c r="O29" s="169">
        <v>7386921.4000000004</v>
      </c>
      <c r="P29" s="170">
        <v>0</v>
      </c>
      <c r="Q29" s="168">
        <f>IF(Berechnung_QS!L29=0,O29*P29,0)</f>
        <v>0</v>
      </c>
      <c r="R29" s="148"/>
      <c r="S29" s="171">
        <f>Berechnung_QS!L29+Q29</f>
        <v>444077.58877252217</v>
      </c>
    </row>
    <row r="30" spans="1:19" ht="15.75" customHeight="1">
      <c r="A30" s="152" t="s">
        <v>62</v>
      </c>
      <c r="B30" s="153">
        <f>(Bruttoeink!B27*B$11)/1000</f>
        <v>279668.21677399997</v>
      </c>
      <c r="C30" s="153">
        <f>(Bruttoeink!C27*C$11)/1000</f>
        <v>75161.190073999998</v>
      </c>
      <c r="D30" s="154">
        <f>(Bruttoeink!D27*D$11)/1000</f>
        <v>6840.5608564999993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15052.7544552</v>
      </c>
      <c r="I30" s="153">
        <f t="shared" si="0"/>
        <v>97054.505385700002</v>
      </c>
      <c r="J30" s="156">
        <f t="shared" si="1"/>
        <v>0.75</v>
      </c>
      <c r="K30" s="153">
        <f t="shared" si="2"/>
        <v>72790.879039274994</v>
      </c>
      <c r="L30" s="157">
        <f t="shared" si="3"/>
        <v>352459.09581327497</v>
      </c>
      <c r="M30" s="145"/>
      <c r="N30" s="152" t="s">
        <v>62</v>
      </c>
      <c r="O30" s="158">
        <v>3317829.2</v>
      </c>
      <c r="P30" s="159">
        <v>0</v>
      </c>
      <c r="Q30" s="157">
        <f>IF(Berechnung_QS!L30=0,O30*P30,0)</f>
        <v>0</v>
      </c>
      <c r="R30" s="148"/>
      <c r="S30" s="160">
        <f>Berechnung_QS!L30+Q30</f>
        <v>352459.09581327497</v>
      </c>
    </row>
    <row r="31" spans="1:19" ht="15.75" customHeight="1">
      <c r="A31" s="163" t="s">
        <v>63</v>
      </c>
      <c r="B31" s="164">
        <f>(Bruttoeink!B28*B$11)/1000</f>
        <v>382336.56857</v>
      </c>
      <c r="C31" s="164">
        <f>(Bruttoeink!C28*C$11)/1000</f>
        <v>80933.878746000002</v>
      </c>
      <c r="D31" s="165">
        <f>(Bruttoeink!D28*D$11)/1000</f>
        <v>459.24441674999997</v>
      </c>
      <c r="E31" s="164">
        <f>(Bruttoeink!E28*E$11)/1000</f>
        <v>118578.44419354836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199971.56735629839</v>
      </c>
      <c r="J31" s="167">
        <f t="shared" si="1"/>
        <v>0.75</v>
      </c>
      <c r="K31" s="164">
        <f t="shared" si="2"/>
        <v>149978.67551722378</v>
      </c>
      <c r="L31" s="168">
        <f t="shared" si="3"/>
        <v>532315.24408722378</v>
      </c>
      <c r="M31" s="145"/>
      <c r="N31" s="163" t="s">
        <v>63</v>
      </c>
      <c r="O31" s="169">
        <v>11366271.699999999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532315.24408722378</v>
      </c>
    </row>
    <row r="32" spans="1:19" ht="15.75" customHeight="1">
      <c r="A32" s="152" t="s">
        <v>64</v>
      </c>
      <c r="B32" s="153">
        <f>(Bruttoeink!B29*B$11)/1000</f>
        <v>186543.21950454</v>
      </c>
      <c r="C32" s="153">
        <f>(Bruttoeink!C29*C$11)/1000</f>
        <v>12821.80782206</v>
      </c>
      <c r="D32" s="154">
        <f>(Bruttoeink!D29*D$11)/1000</f>
        <v>5453.1594888575</v>
      </c>
      <c r="E32" s="153">
        <f>(Bruttoeink!E29*E$11)/1000</f>
        <v>37899.638524193542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56174.605835111041</v>
      </c>
      <c r="J32" s="156">
        <f t="shared" si="1"/>
        <v>0.75</v>
      </c>
      <c r="K32" s="153">
        <f t="shared" si="2"/>
        <v>42130.954376333277</v>
      </c>
      <c r="L32" s="157">
        <f t="shared" si="3"/>
        <v>228674.17388087328</v>
      </c>
      <c r="M32" s="145"/>
      <c r="N32" s="152" t="s">
        <v>64</v>
      </c>
      <c r="O32" s="158">
        <v>4074225</v>
      </c>
      <c r="P32" s="159">
        <v>0</v>
      </c>
      <c r="Q32" s="157">
        <f>IF(Berechnung_QS!L32=0,O32*P32,0)</f>
        <v>0</v>
      </c>
      <c r="R32" s="148"/>
      <c r="S32" s="160">
        <f>Berechnung_QS!L32+Q32</f>
        <v>228674.17388087328</v>
      </c>
    </row>
    <row r="33" spans="1:19" ht="15.75" customHeight="1">
      <c r="A33" s="163" t="s">
        <v>65</v>
      </c>
      <c r="B33" s="164">
        <f>(Bruttoeink!B30*B$11)/1000</f>
        <v>238930.39784800002</v>
      </c>
      <c r="C33" s="164">
        <f>(Bruttoeink!C30*C$11)/1000</f>
        <v>136631.73137600001</v>
      </c>
      <c r="D33" s="165">
        <f>(Bruttoeink!D30*D$11)/1000</f>
        <v>3843.52035725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551162.88941519998</v>
      </c>
      <c r="I33" s="164">
        <f t="shared" si="0"/>
        <v>691638.14114844997</v>
      </c>
      <c r="J33" s="167">
        <f t="shared" si="1"/>
        <v>0.75</v>
      </c>
      <c r="K33" s="164">
        <f t="shared" si="2"/>
        <v>518728.60586133751</v>
      </c>
      <c r="L33" s="168">
        <f t="shared" si="3"/>
        <v>757659.00370933756</v>
      </c>
      <c r="M33" s="145"/>
      <c r="N33" s="163" t="s">
        <v>65</v>
      </c>
      <c r="O33" s="169">
        <v>6234367.2999999998</v>
      </c>
      <c r="P33" s="170">
        <v>0</v>
      </c>
      <c r="Q33" s="168">
        <f>IF(Berechnung_QS!L33=0,O33*P33,0)</f>
        <v>0</v>
      </c>
      <c r="R33" s="148"/>
      <c r="S33" s="171">
        <f>Berechnung_QS!L33+Q33</f>
        <v>757659.00370933756</v>
      </c>
    </row>
    <row r="34" spans="1:19" ht="15.75" customHeight="1">
      <c r="A34" s="152" t="s">
        <v>66</v>
      </c>
      <c r="B34" s="153">
        <f>(Bruttoeink!B31*B$11)/1000</f>
        <v>1007377.3395127599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229843.87258064511</v>
      </c>
      <c r="H34" s="155">
        <f>(Bruttoeink!H31*H$11)/1000</f>
        <v>0</v>
      </c>
      <c r="I34" s="153">
        <f t="shared" si="0"/>
        <v>229843.87258064511</v>
      </c>
      <c r="J34" s="156">
        <f t="shared" si="1"/>
        <v>0.75</v>
      </c>
      <c r="K34" s="153">
        <f t="shared" si="2"/>
        <v>172382.90443548383</v>
      </c>
      <c r="L34" s="157">
        <f t="shared" si="3"/>
        <v>1179760.2439482438</v>
      </c>
      <c r="M34" s="145"/>
      <c r="N34" s="152" t="s">
        <v>66</v>
      </c>
      <c r="O34" s="158">
        <v>14696197.699999999</v>
      </c>
      <c r="P34" s="159">
        <v>0</v>
      </c>
      <c r="Q34" s="157">
        <f>IF(Berechnung_QS!L34=0,O34*P34,0)</f>
        <v>0</v>
      </c>
      <c r="R34" s="148"/>
      <c r="S34" s="160">
        <f>Berechnung_QS!L34+Q34</f>
        <v>1179760.2439482438</v>
      </c>
    </row>
    <row r="35" spans="1:19" ht="15.75" customHeight="1">
      <c r="A35" s="163" t="s">
        <v>67</v>
      </c>
      <c r="B35" s="164">
        <f>(Bruttoeink!B32*B$11)/1000</f>
        <v>335803.61700200004</v>
      </c>
      <c r="C35" s="164">
        <f>(Bruttoeink!C32*C$11)/1000</f>
        <v>2486.6062099999999</v>
      </c>
      <c r="D35" s="165">
        <f>(Bruttoeink!D32*D$11)/1000</f>
        <v>0</v>
      </c>
      <c r="E35" s="164">
        <f>(Bruttoeink!E32*E$11)/1000</f>
        <v>31.010322580645155</v>
      </c>
      <c r="F35" s="164">
        <f>(Bruttoeink!F32*F$11)/1000</f>
        <v>0</v>
      </c>
      <c r="G35" s="164">
        <f>(Bruttoeink!G32*G$11)/1000</f>
        <v>10608.772741935481</v>
      </c>
      <c r="H35" s="166">
        <f>(Bruttoeink!H32*H$11)/1000</f>
        <v>10558.5184728</v>
      </c>
      <c r="I35" s="164">
        <f t="shared" si="0"/>
        <v>23684.907747316127</v>
      </c>
      <c r="J35" s="167">
        <f t="shared" si="1"/>
        <v>0.75</v>
      </c>
      <c r="K35" s="164">
        <f t="shared" si="2"/>
        <v>17763.680810487094</v>
      </c>
      <c r="L35" s="168">
        <f t="shared" si="3"/>
        <v>353567.29781248712</v>
      </c>
      <c r="M35" s="145"/>
      <c r="N35" s="163" t="s">
        <v>67</v>
      </c>
      <c r="O35" s="169">
        <v>4669382.8</v>
      </c>
      <c r="P35" s="170">
        <v>0</v>
      </c>
      <c r="Q35" s="168">
        <f>IF(Berechnung_QS!L35=0,O35*P35,0)</f>
        <v>0</v>
      </c>
      <c r="R35" s="148"/>
      <c r="S35" s="171">
        <f>Berechnung_QS!L35+Q35</f>
        <v>353567.29781248712</v>
      </c>
    </row>
    <row r="36" spans="1:19" ht="15.75" customHeight="1">
      <c r="A36" s="152" t="s">
        <v>68</v>
      </c>
      <c r="B36" s="153">
        <f>(Bruttoeink!B33*B$11)/1000</f>
        <v>132361.081802</v>
      </c>
      <c r="C36" s="153">
        <f>(Bruttoeink!C33*C$11)/1000</f>
        <v>4599.0398459999997</v>
      </c>
      <c r="D36" s="154">
        <f>(Bruttoeink!D33*D$11)/1000</f>
        <v>0</v>
      </c>
      <c r="E36" s="153">
        <f>(Bruttoeink!E33*E$11)/1000</f>
        <v>17.513870967741934</v>
      </c>
      <c r="F36" s="153">
        <f>(Bruttoeink!F33*F$11)/1000</f>
        <v>0</v>
      </c>
      <c r="G36" s="153">
        <f>(Bruttoeink!G33*G$11)/1000</f>
        <v>114815.31967741933</v>
      </c>
      <c r="H36" s="155">
        <f>(Bruttoeink!H33*H$11)/1000</f>
        <v>0</v>
      </c>
      <c r="I36" s="153">
        <f t="shared" si="0"/>
        <v>119431.87339438708</v>
      </c>
      <c r="J36" s="156">
        <f t="shared" si="1"/>
        <v>0.75</v>
      </c>
      <c r="K36" s="153">
        <f t="shared" si="2"/>
        <v>89573.905045790307</v>
      </c>
      <c r="L36" s="157">
        <f t="shared" si="3"/>
        <v>221934.98684779031</v>
      </c>
      <c r="M36" s="145"/>
      <c r="N36" s="152" t="s">
        <v>68</v>
      </c>
      <c r="O36" s="158">
        <v>2723157.9</v>
      </c>
      <c r="P36" s="159">
        <v>0</v>
      </c>
      <c r="Q36" s="157">
        <f>IF(Berechnung_QS!L36=0,O36*P36,0)</f>
        <v>0</v>
      </c>
      <c r="R36" s="148"/>
      <c r="S36" s="160">
        <f>Berechnung_QS!L36+Q36</f>
        <v>221934.98684779031</v>
      </c>
    </row>
    <row r="37" spans="1:19" ht="15.75" customHeight="1">
      <c r="A37" s="163" t="s">
        <v>69</v>
      </c>
      <c r="B37" s="164">
        <f>(Bruttoeink!B34*B$11)/1000</f>
        <v>650341.41320399998</v>
      </c>
      <c r="C37" s="164">
        <f>(Bruttoeink!C34*C$11)/1000</f>
        <v>99294.795172000013</v>
      </c>
      <c r="D37" s="165">
        <f>(Bruttoeink!D34*D$11)/1000</f>
        <v>299.30797050000001</v>
      </c>
      <c r="E37" s="164">
        <f>(Bruttoeink!E34*E$11)/1000</f>
        <v>0</v>
      </c>
      <c r="F37" s="164">
        <f>(Bruttoeink!F34*F$11)/1000</f>
        <v>1687549.9515953406</v>
      </c>
      <c r="G37" s="164">
        <f>(Bruttoeink!G34*G$11)/1000</f>
        <v>0</v>
      </c>
      <c r="H37" s="166">
        <f>(Bruttoeink!H34*H$11)/1000</f>
        <v>0</v>
      </c>
      <c r="I37" s="164">
        <f t="shared" si="0"/>
        <v>1787144.0547378405</v>
      </c>
      <c r="J37" s="167">
        <f t="shared" si="1"/>
        <v>0.75</v>
      </c>
      <c r="K37" s="164">
        <f t="shared" si="2"/>
        <v>1340358.0410533804</v>
      </c>
      <c r="L37" s="168">
        <f t="shared" si="3"/>
        <v>1990699.4542573802</v>
      </c>
      <c r="M37" s="145"/>
      <c r="N37" s="163" t="s">
        <v>69</v>
      </c>
      <c r="O37" s="169">
        <v>12278279</v>
      </c>
      <c r="P37" s="170">
        <v>0</v>
      </c>
      <c r="Q37" s="168">
        <f>IF(Berechnung_QS!L37=0,O37*P37,0)</f>
        <v>0</v>
      </c>
      <c r="R37" s="148"/>
      <c r="S37" s="171">
        <f>Berechnung_QS!L37+Q37</f>
        <v>1990699.4542573802</v>
      </c>
    </row>
    <row r="38" spans="1:19" ht="15.75" customHeight="1">
      <c r="A38" s="172" t="s">
        <v>70</v>
      </c>
      <c r="B38" s="173">
        <f>(Bruttoeink!B35*B$11)/1000</f>
        <v>25669.878485819998</v>
      </c>
      <c r="C38" s="173">
        <f>(Bruttoeink!C35*C$11)/1000</f>
        <v>1716.681732</v>
      </c>
      <c r="D38" s="174">
        <f>(Bruttoeink!D35*D$11)/1000</f>
        <v>0</v>
      </c>
      <c r="E38" s="173">
        <f>(Bruttoeink!E35*E$11)/1000</f>
        <v>93.726056451612891</v>
      </c>
      <c r="F38" s="173">
        <f>(Bruttoeink!F35*F$11)/1000</f>
        <v>0</v>
      </c>
      <c r="G38" s="173">
        <f>(Bruttoeink!G35*G$11)/1000</f>
        <v>58098.851774193543</v>
      </c>
      <c r="H38" s="175">
        <f>(Bruttoeink!H35*H$11)/1000</f>
        <v>0</v>
      </c>
      <c r="I38" s="173">
        <f t="shared" si="0"/>
        <v>59909.259562645158</v>
      </c>
      <c r="J38" s="176">
        <f t="shared" si="1"/>
        <v>0.75</v>
      </c>
      <c r="K38" s="173">
        <f t="shared" si="2"/>
        <v>44931.944671983867</v>
      </c>
      <c r="L38" s="177">
        <f t="shared" si="3"/>
        <v>70601.823157803869</v>
      </c>
      <c r="M38" s="145"/>
      <c r="N38" s="172" t="s">
        <v>70</v>
      </c>
      <c r="O38" s="178">
        <v>891269.2</v>
      </c>
      <c r="P38" s="179">
        <v>0</v>
      </c>
      <c r="Q38" s="177">
        <f>IF(Berechnung_QS!L38=0,O38*P38,0)</f>
        <v>0</v>
      </c>
      <c r="R38" s="148"/>
      <c r="S38" s="180">
        <f>Berechnung_QS!L38+Q38</f>
        <v>70601.823157803869</v>
      </c>
    </row>
    <row r="39" spans="1:19" ht="15.75" customHeight="1">
      <c r="A39" s="181" t="s">
        <v>71</v>
      </c>
      <c r="B39" s="182">
        <f t="shared" ref="B39:I39" si="4">SUM(B13:B38)</f>
        <v>7196026.0383703001</v>
      </c>
      <c r="C39" s="182">
        <f t="shared" si="4"/>
        <v>615483.17343696009</v>
      </c>
      <c r="D39" s="183">
        <f t="shared" si="4"/>
        <v>173845.48744190249</v>
      </c>
      <c r="E39" s="182">
        <f t="shared" si="4"/>
        <v>591281.42817741935</v>
      </c>
      <c r="F39" s="182">
        <f t="shared" si="4"/>
        <v>1687549.9515953406</v>
      </c>
      <c r="G39" s="182">
        <f t="shared" si="4"/>
        <v>872633.28838709672</v>
      </c>
      <c r="H39" s="184">
        <f t="shared" si="4"/>
        <v>576774.16234320006</v>
      </c>
      <c r="I39" s="182">
        <f t="shared" si="4"/>
        <v>4517567.491381919</v>
      </c>
      <c r="J39" s="185">
        <v>0.75</v>
      </c>
      <c r="K39" s="182">
        <f t="shared" si="2"/>
        <v>3388175.6185364393</v>
      </c>
      <c r="L39" s="186">
        <f t="shared" si="3"/>
        <v>10584201.656906739</v>
      </c>
      <c r="M39" s="145"/>
      <c r="N39" s="181" t="s">
        <v>71</v>
      </c>
      <c r="O39" s="187">
        <f>SUM(O13:O38)</f>
        <v>158381758.59999999</v>
      </c>
      <c r="P39" s="188"/>
      <c r="Q39" s="186">
        <f>SUM(Q13:Q38)</f>
        <v>0</v>
      </c>
      <c r="R39" s="148"/>
      <c r="S39" s="189">
        <f>SUM(S13:S38)</f>
        <v>10584201.656906739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2013-10-09T12:54:18Z</dcterms:modified>
</cp:coreProperties>
</file>