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G37" s="1"/>
  <c r="E11"/>
  <c r="E37" s="1"/>
  <c r="C11"/>
  <c r="C37" s="1"/>
  <c r="U10"/>
  <c r="V9"/>
  <c r="O8"/>
  <c r="D7"/>
  <c r="A4"/>
  <c r="L3"/>
  <c r="A1"/>
  <c r="C7" i="3"/>
  <c r="H11" i="4" s="1"/>
  <c r="C6" i="3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H38" i="4" l="1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B11"/>
  <c r="D11"/>
  <c r="F11"/>
  <c r="C13"/>
  <c r="E13"/>
  <c r="G13"/>
  <c r="C16"/>
  <c r="E16"/>
  <c r="G16"/>
  <c r="C18"/>
  <c r="E18"/>
  <c r="G18"/>
  <c r="C20"/>
  <c r="E20"/>
  <c r="G20"/>
  <c r="C22"/>
  <c r="E22"/>
  <c r="G22"/>
  <c r="C24"/>
  <c r="E24"/>
  <c r="G24"/>
  <c r="C26"/>
  <c r="E26"/>
  <c r="G26"/>
  <c r="C28"/>
  <c r="E28"/>
  <c r="G28"/>
  <c r="C30"/>
  <c r="E30"/>
  <c r="G30"/>
  <c r="C32"/>
  <c r="E32"/>
  <c r="G32"/>
  <c r="C34"/>
  <c r="E34"/>
  <c r="G34"/>
  <c r="C36"/>
  <c r="E36"/>
  <c r="G36"/>
  <c r="C38"/>
  <c r="E38"/>
  <c r="G38"/>
  <c r="C14"/>
  <c r="E14"/>
  <c r="G14"/>
  <c r="C15"/>
  <c r="E15"/>
  <c r="G15"/>
  <c r="C17"/>
  <c r="E17"/>
  <c r="G17"/>
  <c r="C19"/>
  <c r="E19"/>
  <c r="G19"/>
  <c r="C21"/>
  <c r="E21"/>
  <c r="G21"/>
  <c r="C23"/>
  <c r="E23"/>
  <c r="G23"/>
  <c r="C25"/>
  <c r="E25"/>
  <c r="G25"/>
  <c r="C27"/>
  <c r="E27"/>
  <c r="G27"/>
  <c r="C29"/>
  <c r="E29"/>
  <c r="G29"/>
  <c r="C31"/>
  <c r="E31"/>
  <c r="G31"/>
  <c r="C33"/>
  <c r="E33"/>
  <c r="G33"/>
  <c r="C35"/>
  <c r="E35"/>
  <c r="G35"/>
  <c r="C39" l="1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G39"/>
  <c r="H39"/>
  <c r="F38"/>
  <c r="I38" s="1"/>
  <c r="K38" s="1"/>
  <c r="L38" s="1"/>
  <c r="F36"/>
  <c r="F34"/>
  <c r="I34" s="1"/>
  <c r="K34" s="1"/>
  <c r="L34" s="1"/>
  <c r="F32"/>
  <c r="F30"/>
  <c r="I30" s="1"/>
  <c r="K30" s="1"/>
  <c r="L30" s="1"/>
  <c r="F28"/>
  <c r="F26"/>
  <c r="I26" s="1"/>
  <c r="K26" s="1"/>
  <c r="L26" s="1"/>
  <c r="F24"/>
  <c r="F22"/>
  <c r="I22" s="1"/>
  <c r="K22" s="1"/>
  <c r="L22" s="1"/>
  <c r="F20"/>
  <c r="F18"/>
  <c r="I18" s="1"/>
  <c r="K18" s="1"/>
  <c r="L18" s="1"/>
  <c r="F16"/>
  <c r="F13"/>
  <c r="F37"/>
  <c r="F35"/>
  <c r="I35" s="1"/>
  <c r="K35" s="1"/>
  <c r="L35" s="1"/>
  <c r="F33"/>
  <c r="F31"/>
  <c r="I31" s="1"/>
  <c r="K31" s="1"/>
  <c r="L31" s="1"/>
  <c r="F29"/>
  <c r="F27"/>
  <c r="I27" s="1"/>
  <c r="K27" s="1"/>
  <c r="L27" s="1"/>
  <c r="F25"/>
  <c r="F23"/>
  <c r="I23" s="1"/>
  <c r="K23" s="1"/>
  <c r="L23" s="1"/>
  <c r="F21"/>
  <c r="F19"/>
  <c r="I19" s="1"/>
  <c r="K19" s="1"/>
  <c r="L19" s="1"/>
  <c r="F17"/>
  <c r="F15"/>
  <c r="I15" s="1"/>
  <c r="K15" s="1"/>
  <c r="L15" s="1"/>
  <c r="F14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I33"/>
  <c r="K33" s="1"/>
  <c r="L33" s="1"/>
  <c r="I29"/>
  <c r="K29" s="1"/>
  <c r="L29" s="1"/>
  <c r="I25"/>
  <c r="K25" s="1"/>
  <c r="L25" s="1"/>
  <c r="I21"/>
  <c r="K21" s="1"/>
  <c r="L21" s="1"/>
  <c r="I17"/>
  <c r="K17" s="1"/>
  <c r="L17" s="1"/>
  <c r="I14"/>
  <c r="K14" s="1"/>
  <c r="L14" s="1"/>
  <c r="I36"/>
  <c r="K36" s="1"/>
  <c r="L36" s="1"/>
  <c r="I32"/>
  <c r="K32" s="1"/>
  <c r="L32" s="1"/>
  <c r="I28"/>
  <c r="K28" s="1"/>
  <c r="L28" s="1"/>
  <c r="I24"/>
  <c r="K24" s="1"/>
  <c r="L24" s="1"/>
  <c r="I20"/>
  <c r="K20" s="1"/>
  <c r="L20" s="1"/>
  <c r="I16"/>
  <c r="K16" s="1"/>
  <c r="L16" s="1"/>
  <c r="E39"/>
  <c r="Q19" l="1"/>
  <c r="S19" s="1"/>
  <c r="Q27"/>
  <c r="S27" s="1"/>
  <c r="Q35"/>
  <c r="S35" s="1"/>
  <c r="S26"/>
  <c r="Q26"/>
  <c r="Q15"/>
  <c r="S15" s="1"/>
  <c r="Q23"/>
  <c r="S23" s="1"/>
  <c r="Q31"/>
  <c r="S31" s="1"/>
  <c r="S18"/>
  <c r="Q18"/>
  <c r="S22"/>
  <c r="Q22"/>
  <c r="S30"/>
  <c r="Q30"/>
  <c r="S34"/>
  <c r="Q34"/>
  <c r="S38"/>
  <c r="Q38"/>
  <c r="S20"/>
  <c r="Q20"/>
  <c r="S28"/>
  <c r="Q28"/>
  <c r="S36"/>
  <c r="Q36"/>
  <c r="Q17"/>
  <c r="S17" s="1"/>
  <c r="Q25"/>
  <c r="S25" s="1"/>
  <c r="Q33"/>
  <c r="S33" s="1"/>
  <c r="B39"/>
  <c r="F39"/>
  <c r="D39"/>
  <c r="Q16"/>
  <c r="S16" s="1"/>
  <c r="Q24"/>
  <c r="S24" s="1"/>
  <c r="Q32"/>
  <c r="S32" s="1"/>
  <c r="Q14"/>
  <c r="S14"/>
  <c r="Q21"/>
  <c r="S21"/>
  <c r="Q29"/>
  <c r="S29"/>
  <c r="I37"/>
  <c r="K37" s="1"/>
  <c r="L37" s="1"/>
  <c r="I13"/>
  <c r="I39" l="1"/>
  <c r="K39" s="1"/>
  <c r="L39" s="1"/>
  <c r="K13"/>
  <c r="L13" s="1"/>
  <c r="Q37"/>
  <c r="S37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<sst xmlns="http://schemas.openxmlformats.org/spreadsheetml/2006/main" count="217" uniqueCount="105">
  <si>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</si>
  <si>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</si>
  <si>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</si>
  <si>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</si>
  <si>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</si>
  <si>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</si>
  <si>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</si>
  <si>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FA_2015_20140616</t>
  </si>
  <si>
    <t>SWS</t>
  </si>
  <si>
    <t>RA_2015_20140616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</si>
  <si>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</si>
  <si>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</si>
  <si>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</si>
  <si>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</si>
  <si>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</si>
  <si>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</si>
  <si>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</si>
  <si>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</si>
  <si>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</si>
  <si>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</si>
  <si>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</si>
  <si>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</si>
  <si>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</si>
  <si>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</si>
  <si>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</si>
  <si>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</si>
  <si>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</si>
  <si>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</si>
  <si>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</si>
  <si>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</si>
  <si>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</si>
  <si>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</si>
  <si>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</si>
  <si>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</si>
  <si>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</si>
  <si>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</si>
  <si>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</si>
  <si>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</si>
  <si>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</si>
  <si>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</si>
  <si>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</si>
  <si>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</si>
  <si>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</si>
  <si>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</si>
  <si>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</si>
  <si>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</si>
  <si>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</si>
  <si>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</si>
  <si>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</si>
  <si>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</si>
  <si>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</si>
  <si>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</si>
  <si>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</si>
  <si>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</si>
  <si>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</si>
  <si>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</si>
  <si>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</si>
  <si>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</si>
  <si>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</si>
  <si>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</si>
  <si>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</si>
  <si>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</si>
  <si>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</si>
  <si>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</si>
  <si>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</si>
  <si>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</si>
  <si>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</si>
  <si>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</si>
  <si>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</si>
  <si>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</si>
  <si>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</si>
  <si>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</si>
  <si>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</si>
  <si>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</si>
  <si>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</rPr>
      <t>A</t>
    </r>
    <r>
      <rPr>
        <sz val="12"/>
        <rFont val="Arial"/>
      </rPr>
      <t xml:space="preserve">  Primäreinkommen der privaten Haushalte</t>
    </r>
  </si>
  <si>
    <t>BFS</t>
  </si>
  <si>
    <r>
      <rPr>
        <sz val="10"/>
        <rFont val="Arial"/>
      </rPr>
      <t>B</t>
    </r>
    <r>
      <rPr>
        <sz val="12"/>
        <rFont val="Arial"/>
      </rPr>
      <t xml:space="preserve">  Massgebendes Einkommen</t>
    </r>
  </si>
  <si>
    <r>
      <rPr>
        <sz val="10"/>
        <rFont val="Arial"/>
      </rPr>
      <t>C</t>
    </r>
    <r>
      <rPr>
        <sz val="12"/>
        <rFont val="Arial"/>
      </rPr>
      <t xml:space="preserve">   </t>
    </r>
    <r>
      <rPr>
        <b/>
        <sz val="12"/>
        <rFont val="Arial"/>
      </rPr>
      <t xml:space="preserve"> Gamma</t>
    </r>
    <r>
      <rPr>
        <sz val="12"/>
        <rFont val="Arial"/>
      </rPr>
      <t xml:space="preserve"> </t>
    </r>
    <r>
      <rPr>
        <sz val="10"/>
        <rFont val="Arial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</si>
  <si>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</si>
  <si>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</si>
  <si>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</si>
  <si>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</si>
  <si>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</si>
  <si>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</si>
  <si>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</si>
  <si>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</si>
  <si>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</si>
  <si>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</si>
  <si>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charset val="2"/>
      </rPr>
      <t xml:space="preserve">g </t>
    </r>
    <r>
      <rPr>
        <sz val="8"/>
        <rFont val="Arial"/>
      </rPr>
      <t>- 0.035 / SST</t>
    </r>
  </si>
  <si>
    <r>
      <rPr>
        <sz val="12"/>
        <rFont val="Arial"/>
      </rPr>
      <t xml:space="preserve">(1 - 0.4) * </t>
    </r>
    <r>
      <rPr>
        <sz val="8"/>
        <rFont val="Symbol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</si>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</sst>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6">
    <font>
      <sz val="12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</font>
    <font>
      <b/>
      <sz val="22"/>
      <name val="Arial"/>
    </font>
    <font>
      <b/>
      <sz val="18"/>
      <name val="Arial"/>
    </font>
    <font>
      <b/>
      <sz val="14"/>
      <name val="Arial"/>
    </font>
    <font>
      <i/>
      <sz val="8"/>
      <color rgb="FF000000"/>
      <name val="Arial"/>
    </font>
    <font>
      <i/>
      <sz val="8"/>
      <color rgb="FF0000FF"/>
      <name val="Arial"/>
    </font>
    <font>
      <b/>
      <sz val="12"/>
      <name val="Arial"/>
    </font>
    <font>
      <i/>
      <sz val="8"/>
      <name val="Arial"/>
    </font>
    <font>
      <sz val="10"/>
      <color indexed="8"/>
      <name val="Arial"/>
    </font>
    <font>
      <i/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sz val="8"/>
      <name val="Arial"/>
    </font>
    <font>
      <sz val="10"/>
      <color indexed="12"/>
      <name val="Arial"/>
    </font>
    <font>
      <sz val="12"/>
      <color indexed="12"/>
      <name val="Arial"/>
    </font>
    <font>
      <b/>
      <sz val="12"/>
      <color indexed="8"/>
      <name val="Arial"/>
    </font>
    <font>
      <i/>
      <sz val="12"/>
      <name val="Arial"/>
    </font>
    <font>
      <sz val="12"/>
      <color indexed="8"/>
      <name val="Arial"/>
    </font>
    <font>
      <sz val="8"/>
      <name val="Symbol"/>
      <charset val="2"/>
    </font>
    <font>
      <b/>
      <sz val="12"/>
      <color indexed="12"/>
      <name val="Arial"/>
    </font>
    <font>
      <b/>
      <i/>
      <sz val="12"/>
      <name val="Arial"/>
    </font>
    <font>
      <sz val="8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17" fillId="0" borderId="15" xfId="0" applyNumberFormat="1" applyFont="1" applyFill="1" applyBorder="1" applyAlignment="1" applyProtection="1">
      <alignment horizontal="right"/>
      <protection locked="0"/>
    </xf>
    <xf numFmtId="166" fontId="17" fillId="0" borderId="16" xfId="0" applyNumberFormat="1" applyFont="1" applyFill="1" applyBorder="1" applyAlignment="1" applyProtection="1">
      <alignment horizontal="right"/>
      <protection locked="0"/>
    </xf>
    <xf numFmtId="166" fontId="17" fillId="0" borderId="13" xfId="0" applyNumberFormat="1" applyFont="1" applyFill="1" applyBorder="1" applyAlignment="1" applyProtection="1">
      <alignment horizontal="right"/>
      <protection locked="0"/>
    </xf>
    <xf numFmtId="166" fontId="17" fillId="0" borderId="0" xfId="0" applyNumberFormat="1" applyFont="1" applyFill="1" applyBorder="1" applyAlignment="1" applyProtection="1">
      <alignment horizontal="right"/>
      <protection locked="0"/>
    </xf>
    <xf numFmtId="166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17" fillId="2" borderId="0" xfId="0" applyNumberFormat="1" applyFont="1" applyFill="1" applyBorder="1" applyAlignment="1" applyProtection="1">
      <alignment horizontal="right"/>
      <protection locked="0"/>
    </xf>
    <xf numFmtId="166" fontId="17" fillId="2" borderId="14" xfId="0" applyNumberFormat="1" applyFont="1" applyFill="1" applyBorder="1" applyAlignment="1" applyProtection="1">
      <alignment horizontal="right"/>
      <protection locked="0"/>
    </xf>
    <xf numFmtId="166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17" fillId="2" borderId="8" xfId="0" applyNumberFormat="1" applyFont="1" applyFill="1" applyBorder="1" applyAlignment="1" applyProtection="1">
      <alignment horizontal="right"/>
      <protection locked="0"/>
    </xf>
    <xf numFmtId="166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7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8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7" fontId="20" fillId="0" borderId="9" xfId="0" applyNumberFormat="1" applyFont="1" applyFill="1" applyBorder="1"/>
    <xf numFmtId="0" fontId="0" fillId="0" borderId="9" xfId="0" applyFont="1" applyFill="1" applyBorder="1"/>
    <xf numFmtId="167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6" fontId="18" fillId="0" borderId="15" xfId="0" applyNumberFormat="1" applyFont="1" applyFill="1" applyBorder="1" applyProtection="1">
      <protection locked="0"/>
    </xf>
    <xf numFmtId="167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18" fillId="2" borderId="0" xfId="0" applyNumberFormat="1" applyFont="1" applyFill="1" applyBorder="1" applyProtection="1">
      <protection locked="0"/>
    </xf>
    <xf numFmtId="167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18" fillId="0" borderId="0" xfId="0" applyNumberFormat="1" applyFont="1" applyFill="1" applyBorder="1" applyProtection="1">
      <protection locked="0"/>
    </xf>
    <xf numFmtId="167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6" fontId="18" fillId="2" borderId="8" xfId="0" applyNumberFormat="1" applyFont="1" applyFill="1" applyBorder="1" applyProtection="1">
      <protection locked="0"/>
    </xf>
    <xf numFmtId="167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0" t="s">
        <v>0</v>
      </c>
      <c r="B1" s="190"/>
      <c r="C1" s="190"/>
      <c r="D1" s="190"/>
      <c r="E1" s="2"/>
    </row>
    <row r="2" spans="1:5" ht="27.75" customHeight="1">
      <c r="A2" s="190" t="s">
        <v>1</v>
      </c>
      <c r="B2" s="190"/>
      <c r="C2" s="190"/>
      <c r="D2" s="190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1" t="str">
        <f>"Bemessungsjahr "&amp;C31</f>
        <v>Bemessungsjahr 2010</v>
      </c>
      <c r="B4" s="191"/>
      <c r="C4" s="191"/>
      <c r="D4" s="191"/>
      <c r="E4" s="4"/>
    </row>
    <row r="5" spans="1:5" ht="18" customHeight="1">
      <c r="A5" s="191" t="str">
        <f>"Referenzjahr "&amp;C30</f>
        <v>Referenzjahr 2015</v>
      </c>
      <c r="B5" s="191"/>
      <c r="C5" s="191"/>
      <c r="D5" s="191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2015</v>
      </c>
    </row>
    <row r="31" spans="2:3">
      <c r="B31" s="10" t="s">
        <v>11</v>
      </c>
      <c r="C31" s="11">
        <v>2010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2010</v>
      </c>
      <c r="B1" s="13"/>
      <c r="C1" s="13"/>
      <c r="J1" s="14"/>
    </row>
    <row r="2" spans="1:10" ht="31.5" customHeight="1">
      <c r="A2" s="15" t="str">
        <f>"Referenzjahr "&amp;Info!C30</f>
        <v>Referenzjahr 2015</v>
      </c>
      <c r="B2" s="16"/>
      <c r="C2" s="16"/>
      <c r="D2" s="17"/>
      <c r="J2" s="18" t="str">
        <f>Info!C28</f>
        <v>FA_2015_20140616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4492355473.6800003</v>
      </c>
      <c r="C10" s="52">
        <v>54181328.899999999</v>
      </c>
      <c r="D10" s="53">
        <v>0</v>
      </c>
      <c r="E10" s="54">
        <v>461405304.85000002</v>
      </c>
      <c r="F10" s="54">
        <v>0</v>
      </c>
      <c r="G10" s="54">
        <v>0</v>
      </c>
      <c r="H10" s="55">
        <v>0</v>
      </c>
      <c r="I10" s="56">
        <f t="shared" ref="I10:I35" si="0">SUM(C10:H10)</f>
        <v>515586633.75</v>
      </c>
      <c r="J10" s="57">
        <f t="shared" ref="J10:J36" si="1">SUM(B10:H10)</f>
        <v>5007942107.4300003</v>
      </c>
    </row>
    <row r="11" spans="1:10">
      <c r="A11" s="58" t="s">
        <v>46</v>
      </c>
      <c r="B11" s="59">
        <v>1441569350.8499999</v>
      </c>
      <c r="C11" s="60">
        <v>85244513.170000002</v>
      </c>
      <c r="D11" s="61">
        <v>143939.75</v>
      </c>
      <c r="E11" s="59">
        <v>14579404.49</v>
      </c>
      <c r="F11" s="59">
        <v>0</v>
      </c>
      <c r="G11" s="59">
        <v>101556848</v>
      </c>
      <c r="H11" s="60">
        <v>0</v>
      </c>
      <c r="I11" s="62">
        <f t="shared" si="0"/>
        <v>201524705.41</v>
      </c>
      <c r="J11" s="63">
        <f t="shared" si="1"/>
        <v>1643094056.26</v>
      </c>
    </row>
    <row r="12" spans="1:10">
      <c r="A12" s="64" t="s">
        <v>47</v>
      </c>
      <c r="B12" s="54">
        <v>651325698</v>
      </c>
      <c r="C12" s="55">
        <v>15103235</v>
      </c>
      <c r="D12" s="53">
        <v>110746</v>
      </c>
      <c r="E12" s="54">
        <v>5744429</v>
      </c>
      <c r="F12" s="54">
        <v>0</v>
      </c>
      <c r="G12" s="54">
        <v>0</v>
      </c>
      <c r="H12" s="55">
        <v>0</v>
      </c>
      <c r="I12" s="65">
        <f t="shared" si="0"/>
        <v>20958410</v>
      </c>
      <c r="J12" s="66">
        <f t="shared" si="1"/>
        <v>672284108</v>
      </c>
    </row>
    <row r="13" spans="1:10">
      <c r="A13" s="58" t="s">
        <v>48</v>
      </c>
      <c r="B13" s="59">
        <v>71629418</v>
      </c>
      <c r="C13" s="60">
        <v>0</v>
      </c>
      <c r="D13" s="61">
        <v>2830902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2830902</v>
      </c>
      <c r="J13" s="63">
        <f t="shared" si="1"/>
        <v>74460320</v>
      </c>
    </row>
    <row r="14" spans="1:10">
      <c r="A14" s="64" t="s">
        <v>49</v>
      </c>
      <c r="B14" s="54">
        <v>275199352</v>
      </c>
      <c r="C14" s="55">
        <v>56169972</v>
      </c>
      <c r="D14" s="53">
        <v>614764</v>
      </c>
      <c r="E14" s="54">
        <v>1455101</v>
      </c>
      <c r="F14" s="54">
        <v>0</v>
      </c>
      <c r="G14" s="54">
        <v>0</v>
      </c>
      <c r="H14" s="55">
        <v>0</v>
      </c>
      <c r="I14" s="65">
        <f t="shared" si="0"/>
        <v>58239837</v>
      </c>
      <c r="J14" s="66">
        <f t="shared" si="1"/>
        <v>333439189</v>
      </c>
    </row>
    <row r="15" spans="1:10">
      <c r="A15" s="58" t="s">
        <v>50</v>
      </c>
      <c r="B15" s="59">
        <v>73079687.530000001</v>
      </c>
      <c r="C15" s="60">
        <v>3693224.01</v>
      </c>
      <c r="D15" s="61">
        <v>0</v>
      </c>
      <c r="E15" s="59">
        <v>90781.4</v>
      </c>
      <c r="F15" s="59">
        <v>0</v>
      </c>
      <c r="G15" s="59">
        <v>0</v>
      </c>
      <c r="H15" s="60">
        <v>0</v>
      </c>
      <c r="I15" s="62">
        <f t="shared" si="0"/>
        <v>3784005.4099999997</v>
      </c>
      <c r="J15" s="63">
        <f t="shared" si="1"/>
        <v>76863692.940000013</v>
      </c>
    </row>
    <row r="16" spans="1:10">
      <c r="A16" s="64" t="s">
        <v>51</v>
      </c>
      <c r="B16" s="54">
        <v>64958135.93</v>
      </c>
      <c r="C16" s="55">
        <v>2146492.7599999998</v>
      </c>
      <c r="D16" s="53">
        <v>2527755.75</v>
      </c>
      <c r="E16" s="54">
        <v>323540</v>
      </c>
      <c r="F16" s="54">
        <v>0</v>
      </c>
      <c r="G16" s="54">
        <v>0</v>
      </c>
      <c r="H16" s="55">
        <v>0</v>
      </c>
      <c r="I16" s="65">
        <f t="shared" si="0"/>
        <v>4997788.51</v>
      </c>
      <c r="J16" s="66">
        <f t="shared" si="1"/>
        <v>69955924.439999998</v>
      </c>
    </row>
    <row r="17" spans="1:10">
      <c r="A17" s="58" t="s">
        <v>52</v>
      </c>
      <c r="B17" s="59">
        <v>85790102</v>
      </c>
      <c r="C17" s="60">
        <v>100202</v>
      </c>
      <c r="D17" s="61">
        <v>5656730</v>
      </c>
      <c r="E17" s="59">
        <v>96243</v>
      </c>
      <c r="F17" s="59">
        <v>0</v>
      </c>
      <c r="G17" s="59">
        <v>0</v>
      </c>
      <c r="H17" s="60">
        <v>0</v>
      </c>
      <c r="I17" s="62">
        <f t="shared" si="0"/>
        <v>5853175</v>
      </c>
      <c r="J17" s="63">
        <f t="shared" si="1"/>
        <v>91643277</v>
      </c>
    </row>
    <row r="18" spans="1:10">
      <c r="A18" s="64" t="s">
        <v>53</v>
      </c>
      <c r="B18" s="54">
        <v>513387742</v>
      </c>
      <c r="C18" s="55">
        <v>28466720</v>
      </c>
      <c r="D18" s="53">
        <v>2288988</v>
      </c>
      <c r="E18" s="54">
        <v>3628240</v>
      </c>
      <c r="F18" s="54">
        <v>0</v>
      </c>
      <c r="G18" s="54">
        <v>0</v>
      </c>
      <c r="H18" s="55">
        <v>0</v>
      </c>
      <c r="I18" s="65">
        <f t="shared" si="0"/>
        <v>34383948</v>
      </c>
      <c r="J18" s="66">
        <f t="shared" si="1"/>
        <v>547771690</v>
      </c>
    </row>
    <row r="19" spans="1:10">
      <c r="A19" s="58" t="s">
        <v>54</v>
      </c>
      <c r="B19" s="59">
        <v>499874914.80000103</v>
      </c>
      <c r="C19" s="60">
        <v>0</v>
      </c>
      <c r="D19" s="61">
        <v>3234101.45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3234101.45</v>
      </c>
      <c r="J19" s="63">
        <f t="shared" si="1"/>
        <v>503109016.25000101</v>
      </c>
    </row>
    <row r="20" spans="1:10">
      <c r="A20" s="64" t="s">
        <v>55</v>
      </c>
      <c r="B20" s="54">
        <v>360427409</v>
      </c>
      <c r="C20" s="55">
        <v>13288152.25</v>
      </c>
      <c r="D20" s="53">
        <v>1110442</v>
      </c>
      <c r="E20" s="54">
        <v>32576212.300000001</v>
      </c>
      <c r="F20" s="54">
        <v>0</v>
      </c>
      <c r="G20" s="54">
        <v>80920974</v>
      </c>
      <c r="H20" s="55">
        <v>0</v>
      </c>
      <c r="I20" s="65">
        <f t="shared" si="0"/>
        <v>127895780.55</v>
      </c>
      <c r="J20" s="66">
        <f t="shared" si="1"/>
        <v>488323189.55000001</v>
      </c>
    </row>
    <row r="21" spans="1:10">
      <c r="A21" s="58" t="s">
        <v>56</v>
      </c>
      <c r="B21" s="59">
        <v>688616186.57000005</v>
      </c>
      <c r="C21" s="60">
        <v>144178933.80000001</v>
      </c>
      <c r="D21" s="61">
        <v>863016.77</v>
      </c>
      <c r="E21" s="59">
        <v>1267335323.47</v>
      </c>
      <c r="F21" s="59">
        <v>0</v>
      </c>
      <c r="G21" s="59">
        <v>1456465918.3900001</v>
      </c>
      <c r="H21" s="60">
        <v>0</v>
      </c>
      <c r="I21" s="62">
        <f t="shared" si="0"/>
        <v>2868843192.4300003</v>
      </c>
      <c r="J21" s="63">
        <f t="shared" si="1"/>
        <v>3557459379</v>
      </c>
    </row>
    <row r="22" spans="1:10">
      <c r="A22" s="64" t="s">
        <v>57</v>
      </c>
      <c r="B22" s="54">
        <v>378415216.86000001</v>
      </c>
      <c r="C22" s="55">
        <v>82214877.719999999</v>
      </c>
      <c r="D22" s="53">
        <v>1455845.5</v>
      </c>
      <c r="E22" s="54">
        <v>601050081.89999998</v>
      </c>
      <c r="F22" s="54">
        <v>0</v>
      </c>
      <c r="G22" s="54">
        <v>950443338.5</v>
      </c>
      <c r="H22" s="55">
        <v>0</v>
      </c>
      <c r="I22" s="65">
        <f t="shared" si="0"/>
        <v>1635164143.6199999</v>
      </c>
      <c r="J22" s="66">
        <f t="shared" si="1"/>
        <v>2013579360.48</v>
      </c>
    </row>
    <row r="23" spans="1:10">
      <c r="A23" s="58" t="s">
        <v>58</v>
      </c>
      <c r="B23" s="59">
        <v>270750992.55000001</v>
      </c>
      <c r="C23" s="60">
        <v>15427517.6</v>
      </c>
      <c r="D23" s="61">
        <v>455187.8</v>
      </c>
      <c r="E23" s="59">
        <v>318383251.14999998</v>
      </c>
      <c r="F23" s="59">
        <v>0</v>
      </c>
      <c r="G23" s="59">
        <v>0</v>
      </c>
      <c r="H23" s="60">
        <v>0</v>
      </c>
      <c r="I23" s="62">
        <f t="shared" si="0"/>
        <v>334265956.54999995</v>
      </c>
      <c r="J23" s="63">
        <f t="shared" si="1"/>
        <v>605016949.10000002</v>
      </c>
    </row>
    <row r="24" spans="1:10">
      <c r="A24" s="64" t="s">
        <v>59</v>
      </c>
      <c r="B24" s="54">
        <v>92299886</v>
      </c>
      <c r="C24" s="55">
        <v>3397626</v>
      </c>
      <c r="D24" s="53">
        <v>12164058</v>
      </c>
      <c r="E24" s="54">
        <v>4405013</v>
      </c>
      <c r="F24" s="54">
        <v>0</v>
      </c>
      <c r="G24" s="54">
        <v>0</v>
      </c>
      <c r="H24" s="55">
        <v>0</v>
      </c>
      <c r="I24" s="65">
        <f t="shared" si="0"/>
        <v>19966697</v>
      </c>
      <c r="J24" s="66">
        <f t="shared" si="1"/>
        <v>112266583</v>
      </c>
    </row>
    <row r="25" spans="1:10">
      <c r="A25" s="58" t="s">
        <v>60</v>
      </c>
      <c r="B25" s="59">
        <v>17007962.359999999</v>
      </c>
      <c r="C25" s="60">
        <v>1989767.62</v>
      </c>
      <c r="D25" s="61">
        <v>3582005.4</v>
      </c>
      <c r="E25" s="59">
        <v>635853.94999999995</v>
      </c>
      <c r="F25" s="59">
        <v>0</v>
      </c>
      <c r="G25" s="59">
        <v>0</v>
      </c>
      <c r="H25" s="60">
        <v>0</v>
      </c>
      <c r="I25" s="62">
        <f t="shared" si="0"/>
        <v>6207626.9699999997</v>
      </c>
      <c r="J25" s="63">
        <f t="shared" si="1"/>
        <v>23215589.329999998</v>
      </c>
    </row>
    <row r="26" spans="1:10">
      <c r="A26" s="64" t="s">
        <v>61</v>
      </c>
      <c r="B26" s="54">
        <v>852498853.71000004</v>
      </c>
      <c r="C26" s="55">
        <v>58731059.460000001</v>
      </c>
      <c r="D26" s="53">
        <v>426118428.72000003</v>
      </c>
      <c r="E26" s="54">
        <v>65949188.240000002</v>
      </c>
      <c r="F26" s="54">
        <v>0</v>
      </c>
      <c r="G26" s="54">
        <v>0</v>
      </c>
      <c r="H26" s="55">
        <v>0</v>
      </c>
      <c r="I26" s="65">
        <f t="shared" si="0"/>
        <v>550798676.41999996</v>
      </c>
      <c r="J26" s="66">
        <f t="shared" si="1"/>
        <v>1403297530.1300001</v>
      </c>
    </row>
    <row r="27" spans="1:10">
      <c r="A27" s="58" t="s">
        <v>62</v>
      </c>
      <c r="B27" s="59">
        <v>731064373</v>
      </c>
      <c r="C27" s="60">
        <v>238478997</v>
      </c>
      <c r="D27" s="61">
        <v>21027596</v>
      </c>
      <c r="E27" s="59">
        <v>0</v>
      </c>
      <c r="F27" s="59">
        <v>0</v>
      </c>
      <c r="G27" s="59">
        <v>0</v>
      </c>
      <c r="H27" s="60">
        <v>69343239</v>
      </c>
      <c r="I27" s="62">
        <f t="shared" si="0"/>
        <v>328849832</v>
      </c>
      <c r="J27" s="63">
        <f t="shared" si="1"/>
        <v>1059914205</v>
      </c>
    </row>
    <row r="28" spans="1:10">
      <c r="A28" s="64" t="s">
        <v>63</v>
      </c>
      <c r="B28" s="54">
        <v>1034807906</v>
      </c>
      <c r="C28" s="55">
        <v>224930057</v>
      </c>
      <c r="D28" s="53">
        <v>1866062</v>
      </c>
      <c r="E28" s="54">
        <v>756690289</v>
      </c>
      <c r="F28" s="54">
        <v>0</v>
      </c>
      <c r="G28" s="54">
        <v>0</v>
      </c>
      <c r="H28" s="55">
        <v>0</v>
      </c>
      <c r="I28" s="65">
        <f t="shared" si="0"/>
        <v>983486408</v>
      </c>
      <c r="J28" s="66">
        <f t="shared" si="1"/>
        <v>2018294314</v>
      </c>
    </row>
    <row r="29" spans="1:10">
      <c r="A29" s="58" t="s">
        <v>64</v>
      </c>
      <c r="B29" s="59">
        <v>521728877.74000001</v>
      </c>
      <c r="C29" s="60">
        <v>39750952.979999997</v>
      </c>
      <c r="D29" s="61">
        <v>15074505.35</v>
      </c>
      <c r="E29" s="59">
        <v>240673370.02000001</v>
      </c>
      <c r="F29" s="59">
        <v>0</v>
      </c>
      <c r="G29" s="59">
        <v>0</v>
      </c>
      <c r="H29" s="60">
        <v>0</v>
      </c>
      <c r="I29" s="62">
        <f t="shared" si="0"/>
        <v>295498828.35000002</v>
      </c>
      <c r="J29" s="63">
        <f t="shared" si="1"/>
        <v>817227706.09000003</v>
      </c>
    </row>
    <row r="30" spans="1:10">
      <c r="A30" s="64" t="s">
        <v>65</v>
      </c>
      <c r="B30" s="54">
        <v>704571066</v>
      </c>
      <c r="C30" s="55">
        <v>402795571</v>
      </c>
      <c r="D30" s="53">
        <v>15076865</v>
      </c>
      <c r="E30" s="54">
        <v>0</v>
      </c>
      <c r="F30" s="54">
        <v>0</v>
      </c>
      <c r="G30" s="54">
        <v>0</v>
      </c>
      <c r="H30" s="55">
        <v>2453122581</v>
      </c>
      <c r="I30" s="65">
        <f t="shared" si="0"/>
        <v>2870995017</v>
      </c>
      <c r="J30" s="66">
        <f t="shared" si="1"/>
        <v>3575566083</v>
      </c>
    </row>
    <row r="31" spans="1:10">
      <c r="A31" s="58" t="s">
        <v>66</v>
      </c>
      <c r="B31" s="59">
        <v>2548250330</v>
      </c>
      <c r="C31" s="60">
        <v>0</v>
      </c>
      <c r="D31" s="61">
        <v>0</v>
      </c>
      <c r="E31" s="59">
        <v>0</v>
      </c>
      <c r="F31" s="59">
        <v>0</v>
      </c>
      <c r="G31" s="59">
        <v>1567103857.5999999</v>
      </c>
      <c r="H31" s="60">
        <v>0</v>
      </c>
      <c r="I31" s="62">
        <f t="shared" si="0"/>
        <v>1567103857.5999999</v>
      </c>
      <c r="J31" s="63">
        <f t="shared" si="1"/>
        <v>4115354187.5999999</v>
      </c>
    </row>
    <row r="32" spans="1:10">
      <c r="A32" s="64" t="s">
        <v>67</v>
      </c>
      <c r="B32" s="54">
        <v>938089636</v>
      </c>
      <c r="C32" s="55">
        <v>8339227</v>
      </c>
      <c r="D32" s="53">
        <v>0</v>
      </c>
      <c r="E32" s="54">
        <v>362731</v>
      </c>
      <c r="F32" s="54">
        <v>0</v>
      </c>
      <c r="G32" s="54">
        <v>67295627</v>
      </c>
      <c r="H32" s="55">
        <v>50943808</v>
      </c>
      <c r="I32" s="65">
        <f t="shared" si="0"/>
        <v>126941393</v>
      </c>
      <c r="J32" s="66">
        <f t="shared" si="1"/>
        <v>1065031029</v>
      </c>
    </row>
    <row r="33" spans="1:10">
      <c r="A33" s="58" t="s">
        <v>68</v>
      </c>
      <c r="B33" s="59">
        <v>322349361</v>
      </c>
      <c r="C33" s="60">
        <v>13862173</v>
      </c>
      <c r="D33" s="61">
        <v>9364</v>
      </c>
      <c r="E33" s="59">
        <v>143654</v>
      </c>
      <c r="F33" s="59">
        <v>0</v>
      </c>
      <c r="G33" s="59">
        <v>714421061</v>
      </c>
      <c r="H33" s="60">
        <v>0</v>
      </c>
      <c r="I33" s="62">
        <f t="shared" si="0"/>
        <v>728436252</v>
      </c>
      <c r="J33" s="63">
        <f t="shared" si="1"/>
        <v>1050785613</v>
      </c>
    </row>
    <row r="34" spans="1:10">
      <c r="A34" s="64" t="s">
        <v>69</v>
      </c>
      <c r="B34" s="54">
        <v>1864702755</v>
      </c>
      <c r="C34" s="55">
        <v>267474012</v>
      </c>
      <c r="D34" s="53">
        <v>1106819</v>
      </c>
      <c r="E34" s="54">
        <v>0</v>
      </c>
      <c r="F34" s="54">
        <v>6763263231</v>
      </c>
      <c r="G34" s="54">
        <v>0</v>
      </c>
      <c r="H34" s="55">
        <v>0</v>
      </c>
      <c r="I34" s="65">
        <f t="shared" si="0"/>
        <v>7031844062</v>
      </c>
      <c r="J34" s="66">
        <f t="shared" si="1"/>
        <v>8896546817</v>
      </c>
    </row>
    <row r="35" spans="1:10">
      <c r="A35" s="67" t="s">
        <v>70</v>
      </c>
      <c r="B35" s="68">
        <v>68506032</v>
      </c>
      <c r="C35" s="69">
        <v>5912796</v>
      </c>
      <c r="D35" s="61">
        <v>0</v>
      </c>
      <c r="E35" s="59">
        <v>464939</v>
      </c>
      <c r="F35" s="59">
        <v>0</v>
      </c>
      <c r="G35" s="59">
        <v>377356810</v>
      </c>
      <c r="H35" s="60">
        <v>0</v>
      </c>
      <c r="I35" s="62">
        <f t="shared" si="0"/>
        <v>383734545</v>
      </c>
      <c r="J35" s="63">
        <f t="shared" si="1"/>
        <v>452240577</v>
      </c>
    </row>
    <row r="36" spans="1:10">
      <c r="A36" s="5" t="s">
        <v>71</v>
      </c>
      <c r="B36" s="70">
        <f t="shared" ref="B36:I36" si="2">SUM(B10:B35)</f>
        <v>19563256718.580002</v>
      </c>
      <c r="C36" s="71">
        <f t="shared" si="2"/>
        <v>1765877408.27</v>
      </c>
      <c r="D36" s="72">
        <f t="shared" si="2"/>
        <v>517318122.49000007</v>
      </c>
      <c r="E36" s="70">
        <f t="shared" si="2"/>
        <v>3775992950.7699995</v>
      </c>
      <c r="F36" s="70">
        <f t="shared" si="2"/>
        <v>6763263231</v>
      </c>
      <c r="G36" s="70">
        <f t="shared" si="2"/>
        <v>5315564434.4899998</v>
      </c>
      <c r="H36" s="71">
        <f t="shared" si="2"/>
        <v>2573409628</v>
      </c>
      <c r="I36" s="72">
        <f t="shared" si="2"/>
        <v>20711425775.020004</v>
      </c>
      <c r="J36" s="73">
        <f t="shared" si="1"/>
        <v>40274682493.600006</v>
      </c>
    </row>
    <row r="37" spans="1:10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2010</v>
      </c>
    </row>
    <row r="2" spans="1:4" ht="15.75" customHeight="1">
      <c r="A2" s="75" t="str">
        <f>Bruttoeink!A2</f>
        <v>Referenzjahr 2015</v>
      </c>
    </row>
    <row r="3" spans="1:4" ht="33" customHeight="1">
      <c r="C3" s="76" t="str">
        <f>Info!$C$28</f>
        <v>FA_2015_20140616</v>
      </c>
    </row>
    <row r="4" spans="1:4" ht="15.75" customHeight="1">
      <c r="B4" s="77" t="s">
        <v>72</v>
      </c>
      <c r="C4" s="78" t="s">
        <v>73</v>
      </c>
      <c r="D4" s="79"/>
    </row>
    <row r="5" spans="1:4">
      <c r="A5" s="74" t="s">
        <v>74</v>
      </c>
      <c r="B5" s="80" t="s">
        <v>75</v>
      </c>
      <c r="C5" s="81">
        <v>417326445.68248802</v>
      </c>
      <c r="D5" s="82"/>
    </row>
    <row r="6" spans="1:4">
      <c r="A6" s="83" t="s">
        <v>76</v>
      </c>
      <c r="B6" s="84" t="str">
        <f>"ASG_"&amp;Info!C30&amp;"_"&amp;Info!C31&amp;".xlsx"</f>
        <v>ASG_2015_2010.xlsx</v>
      </c>
      <c r="C6" s="85">
        <f>Berechnung_QS!O39</f>
        <v>162652358.79999998</v>
      </c>
      <c r="D6" s="82"/>
    </row>
    <row r="7" spans="1:4" ht="24.75" customHeight="1">
      <c r="A7" s="86" t="s">
        <v>77</v>
      </c>
      <c r="B7" s="86"/>
      <c r="C7" s="87">
        <f>ROUND(C6/C5,3)</f>
        <v>0.39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2010</v>
      </c>
      <c r="B1" s="13"/>
      <c r="C1" s="13"/>
      <c r="D1" s="13"/>
      <c r="E1" s="13"/>
      <c r="F1" s="13"/>
      <c r="H1" s="14"/>
      <c r="R1" s="12"/>
    </row>
    <row r="2" spans="1:22" ht="18.75" customHeight="1">
      <c r="A2" s="89" t="str">
        <f>Info!A5</f>
        <v>Referenzjahr 2015</v>
      </c>
      <c r="B2" s="90"/>
      <c r="H2" s="88"/>
      <c r="R2" s="12"/>
    </row>
    <row r="3" spans="1:22" ht="18.75" customHeight="1">
      <c r="A3" s="91"/>
      <c r="B3" s="90"/>
      <c r="H3" s="88"/>
      <c r="L3" s="92" t="str">
        <f>Info!C28</f>
        <v>FA_2015_20140616</v>
      </c>
      <c r="R3" s="12"/>
    </row>
    <row r="4" spans="1:22" ht="37.5" customHeight="1">
      <c r="A4" s="218" t="str">
        <f>"Berechnung von QS auf der Basis der Bruttolöhne "&amp;Info!C31</f>
        <v>Berechnung von QS auf der Basis der Bruttolöhne 2010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21" t="s">
        <v>78</v>
      </c>
      <c r="O4" s="222"/>
      <c r="P4" s="222"/>
      <c r="Q4" s="223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08" t="str">
        <f>"Massgebende Einkommen "&amp;Info!C31</f>
        <v>Massgebende Einkommen 2010</v>
      </c>
      <c r="P8" s="199" t="s">
        <v>95</v>
      </c>
      <c r="Q8" s="192" t="s">
        <v>96</v>
      </c>
      <c r="R8" s="119"/>
      <c r="S8" s="216" t="s">
        <v>97</v>
      </c>
    </row>
    <row r="9" spans="1:22" s="120" customFormat="1" ht="24" customHeight="1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09"/>
      <c r="P9" s="207"/>
      <c r="Q9" s="214"/>
      <c r="R9" s="119"/>
      <c r="S9" s="217"/>
      <c r="V9" s="122" t="str">
        <f>Info!C28</f>
        <v>FA_2015_20140616</v>
      </c>
    </row>
    <row r="10" spans="1:22" s="120" customFormat="1" ht="69" customHeight="1">
      <c r="A10" s="34"/>
      <c r="B10" s="207"/>
      <c r="C10" s="20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07"/>
      <c r="J10" s="207"/>
      <c r="K10" s="207"/>
      <c r="L10" s="214"/>
      <c r="M10" s="118"/>
      <c r="N10" s="123"/>
      <c r="O10" s="210"/>
      <c r="P10" s="213"/>
      <c r="Q10" s="215"/>
      <c r="R10" s="119"/>
      <c r="S10" s="217"/>
      <c r="U10" s="211" t="str">
        <f>" Standardisierter Steuersatz (SST) "&amp;Info!C30-1</f>
        <v xml:space="preserve"> Standardisierter Steuersatz (SST) 2014</v>
      </c>
      <c r="V10" s="212"/>
    </row>
    <row r="11" spans="1:22" s="124" customFormat="1" ht="14.25" customHeight="1">
      <c r="A11" s="125" t="s">
        <v>102</v>
      </c>
      <c r="B11" s="126">
        <f>gamma</f>
        <v>0.39</v>
      </c>
      <c r="C11" s="126">
        <f>gamma</f>
        <v>0.39</v>
      </c>
      <c r="D11" s="127">
        <f>IF(Info!C31&lt;2006,0.03/sst,0.875*gamma)</f>
        <v>0.34125</v>
      </c>
      <c r="E11" s="126">
        <f>0.045/sst</f>
        <v>0.1607142857142857</v>
      </c>
      <c r="F11" s="126">
        <f>gamma-0.035/sst</f>
        <v>0.26500000000000001</v>
      </c>
      <c r="G11" s="126">
        <f>0.045/sst</f>
        <v>0.1607142857142857</v>
      </c>
      <c r="H11" s="128">
        <f>0.6*gamma</f>
        <v>0.23399999999999999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ASG_2015_2010.xlsx</v>
      </c>
      <c r="R11" s="132"/>
      <c r="S11" s="133"/>
      <c r="U11" s="205" t="str">
        <f>"Quelle: RA_"&amp;Info!C30-1&amp;".xlsx"</f>
        <v>Quelle: RA_2014.xlsx</v>
      </c>
      <c r="V11" s="206"/>
    </row>
    <row r="12" spans="1:22" s="124" customFormat="1" ht="14.25" customHeight="1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>
      <c r="A13" s="139" t="s">
        <v>45</v>
      </c>
      <c r="B13" s="140">
        <f>(Bruttoeink!B10*B$11)/1000</f>
        <v>1752018.6347352001</v>
      </c>
      <c r="C13" s="140">
        <f>(Bruttoeink!C10*C$11)/1000</f>
        <v>21130.718271000002</v>
      </c>
      <c r="D13" s="141">
        <f>(Bruttoeink!D10*D$11)/1000</f>
        <v>0</v>
      </c>
      <c r="E13" s="140">
        <f>(Bruttoeink!E10*E$11)/1000</f>
        <v>74154.423993749995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95285.14226475</v>
      </c>
      <c r="J13" s="143">
        <f t="shared" ref="J13:J38" si="1">$J$39</f>
        <v>0.75</v>
      </c>
      <c r="K13" s="140">
        <f t="shared" ref="K13:K39" si="2">I13*J13</f>
        <v>71463.856698562508</v>
      </c>
      <c r="L13" s="144">
        <f t="shared" ref="L13:L39" si="3">K13+B13</f>
        <v>1823482.4914337625</v>
      </c>
      <c r="M13" s="145"/>
      <c r="N13" s="139" t="s">
        <v>45</v>
      </c>
      <c r="O13" s="146">
        <v>35246961.299999997</v>
      </c>
      <c r="P13" s="147">
        <v>0</v>
      </c>
      <c r="Q13" s="144">
        <f>IF(Berechnung_QS!L13=0,O13*P13,0)</f>
        <v>0</v>
      </c>
      <c r="R13" s="148"/>
      <c r="S13" s="149">
        <f>Berechnung_QS!L13+Q13</f>
        <v>1823482.4914337625</v>
      </c>
      <c r="U13" s="150" t="s">
        <v>103</v>
      </c>
      <c r="V13" s="151">
        <v>0.279645000495235</v>
      </c>
    </row>
    <row r="14" spans="1:22" ht="15.75" customHeight="1">
      <c r="A14" s="152" t="s">
        <v>46</v>
      </c>
      <c r="B14" s="153">
        <f>(Bruttoeink!B11*B$11)/1000</f>
        <v>562212.0468314999</v>
      </c>
      <c r="C14" s="153">
        <f>(Bruttoeink!C11*C$11)/1000</f>
        <v>33245.360136299998</v>
      </c>
      <c r="D14" s="154">
        <f>(Bruttoeink!D11*D$11)/1000</f>
        <v>49.119439687500005</v>
      </c>
      <c r="E14" s="153">
        <f>(Bruttoeink!E11*E$11)/1000</f>
        <v>2343.1185787499999</v>
      </c>
      <c r="F14" s="153">
        <f>(Bruttoeink!F11*F$11)/1000</f>
        <v>0</v>
      </c>
      <c r="G14" s="153">
        <f>(Bruttoeink!G11*G$11)/1000</f>
        <v>16321.636285714283</v>
      </c>
      <c r="H14" s="155">
        <f>(Bruttoeink!H11*H$11)/1000</f>
        <v>0</v>
      </c>
      <c r="I14" s="153">
        <f t="shared" si="0"/>
        <v>51959.234440451779</v>
      </c>
      <c r="J14" s="156">
        <f t="shared" si="1"/>
        <v>0.75</v>
      </c>
      <c r="K14" s="153">
        <f t="shared" si="2"/>
        <v>38969.425830338834</v>
      </c>
      <c r="L14" s="157">
        <f t="shared" si="3"/>
        <v>601181.47266183875</v>
      </c>
      <c r="M14" s="145"/>
      <c r="N14" s="152" t="s">
        <v>46</v>
      </c>
      <c r="O14" s="158">
        <v>15910794.699999999</v>
      </c>
      <c r="P14" s="159">
        <v>0</v>
      </c>
      <c r="Q14" s="157">
        <f>IF(Berechnung_QS!L14=0,O14*P14,0)</f>
        <v>0</v>
      </c>
      <c r="R14" s="148"/>
      <c r="S14" s="160">
        <f>Berechnung_QS!L14+Q14</f>
        <v>601181.47266183875</v>
      </c>
      <c r="U14" s="161" t="s">
        <v>104</v>
      </c>
      <c r="V14" s="162">
        <f>ROUND(V13,3)</f>
        <v>0.28000000000000003</v>
      </c>
    </row>
    <row r="15" spans="1:22" ht="15.75" customHeight="1">
      <c r="A15" s="163" t="s">
        <v>47</v>
      </c>
      <c r="B15" s="164">
        <f>(Bruttoeink!B12*B$11)/1000</f>
        <v>254017.02221999998</v>
      </c>
      <c r="C15" s="164">
        <f>(Bruttoeink!C12*C$11)/1000</f>
        <v>5890.2616500000004</v>
      </c>
      <c r="D15" s="165">
        <f>(Bruttoeink!D12*D$11)/1000</f>
        <v>37.792072500000003</v>
      </c>
      <c r="E15" s="164">
        <f>(Bruttoeink!E12*E$11)/1000</f>
        <v>923.2118035714285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6851.2655260714291</v>
      </c>
      <c r="J15" s="167">
        <f t="shared" si="1"/>
        <v>0.75</v>
      </c>
      <c r="K15" s="164">
        <f t="shared" si="2"/>
        <v>5138.4491445535714</v>
      </c>
      <c r="L15" s="168">
        <f t="shared" si="3"/>
        <v>259155.47136455355</v>
      </c>
      <c r="M15" s="145"/>
      <c r="N15" s="163" t="s">
        <v>47</v>
      </c>
      <c r="O15" s="169">
        <v>6501847.5</v>
      </c>
      <c r="P15" s="170">
        <v>0</v>
      </c>
      <c r="Q15" s="168">
        <f>IF(Berechnung_QS!L15=0,O15*P15,0)</f>
        <v>0</v>
      </c>
      <c r="R15" s="148"/>
      <c r="S15" s="171">
        <f>Berechnung_QS!L15+Q15</f>
        <v>259155.47136455355</v>
      </c>
    </row>
    <row r="16" spans="1:22" ht="15.75" customHeight="1">
      <c r="A16" s="152" t="s">
        <v>48</v>
      </c>
      <c r="B16" s="153">
        <f>(Bruttoeink!B13*B$11)/1000</f>
        <v>27935.473020000001</v>
      </c>
      <c r="C16" s="153">
        <f>(Bruttoeink!C13*C$11)/1000</f>
        <v>0</v>
      </c>
      <c r="D16" s="154">
        <f>(Bruttoeink!D13*D$11)/1000</f>
        <v>966.04530750000004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966.04530750000004</v>
      </c>
      <c r="J16" s="156">
        <f t="shared" si="1"/>
        <v>0.75</v>
      </c>
      <c r="K16" s="153">
        <f t="shared" si="2"/>
        <v>724.53398062500003</v>
      </c>
      <c r="L16" s="157">
        <f t="shared" si="3"/>
        <v>28660.007000625003</v>
      </c>
      <c r="M16" s="145"/>
      <c r="N16" s="152" t="s">
        <v>48</v>
      </c>
      <c r="O16" s="158">
        <v>466817.1</v>
      </c>
      <c r="P16" s="159">
        <v>0</v>
      </c>
      <c r="Q16" s="157">
        <f>IF(Berechnung_QS!L16=0,O16*P16,0)</f>
        <v>0</v>
      </c>
      <c r="R16" s="148"/>
      <c r="S16" s="160">
        <f>Berechnung_QS!L16+Q16</f>
        <v>28660.007000625003</v>
      </c>
    </row>
    <row r="17" spans="1:19" ht="15.75" customHeight="1">
      <c r="A17" s="163" t="s">
        <v>49</v>
      </c>
      <c r="B17" s="164">
        <f>(Bruttoeink!B14*B$11)/1000</f>
        <v>107327.74728</v>
      </c>
      <c r="C17" s="164">
        <f>(Bruttoeink!C14*C$11)/1000</f>
        <v>21906.289080000002</v>
      </c>
      <c r="D17" s="165">
        <f>(Bruttoeink!D14*D$11)/1000</f>
        <v>209.78821500000001</v>
      </c>
      <c r="E17" s="164">
        <f>(Bruttoeink!E14*E$11)/1000</f>
        <v>233.85551785714284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22349.932812857147</v>
      </c>
      <c r="J17" s="167">
        <f t="shared" si="1"/>
        <v>0.75</v>
      </c>
      <c r="K17" s="164">
        <f t="shared" si="2"/>
        <v>16762.449609642859</v>
      </c>
      <c r="L17" s="168">
        <f t="shared" si="3"/>
        <v>124090.19688964286</v>
      </c>
      <c r="M17" s="145"/>
      <c r="N17" s="163" t="s">
        <v>49</v>
      </c>
      <c r="O17" s="169">
        <v>5374073.9000000004</v>
      </c>
      <c r="P17" s="170">
        <v>0</v>
      </c>
      <c r="Q17" s="168">
        <f>IF(Berechnung_QS!L17=0,O17*P17,0)</f>
        <v>0</v>
      </c>
      <c r="R17" s="148"/>
      <c r="S17" s="171">
        <f>Berechnung_QS!L17+Q17</f>
        <v>124090.19688964286</v>
      </c>
    </row>
    <row r="18" spans="1:19" ht="15.75" customHeight="1">
      <c r="A18" s="152" t="s">
        <v>50</v>
      </c>
      <c r="B18" s="153">
        <f>(Bruttoeink!B15*B$11)/1000</f>
        <v>28501.078136700002</v>
      </c>
      <c r="C18" s="153">
        <f>(Bruttoeink!C15*C$11)/1000</f>
        <v>1440.3573639000001</v>
      </c>
      <c r="D18" s="154">
        <f>(Bruttoeink!D15*D$11)/1000</f>
        <v>0</v>
      </c>
      <c r="E18" s="153">
        <f>(Bruttoeink!E15*E$11)/1000</f>
        <v>14.589867857142856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1454.9472317571431</v>
      </c>
      <c r="J18" s="156">
        <f t="shared" si="1"/>
        <v>0.75</v>
      </c>
      <c r="K18" s="153">
        <f t="shared" si="2"/>
        <v>1091.2104238178572</v>
      </c>
      <c r="L18" s="157">
        <f t="shared" si="3"/>
        <v>29592.28856051786</v>
      </c>
      <c r="M18" s="145"/>
      <c r="N18" s="152" t="s">
        <v>50</v>
      </c>
      <c r="O18" s="158">
        <v>665437.30000000005</v>
      </c>
      <c r="P18" s="159">
        <v>0</v>
      </c>
      <c r="Q18" s="157">
        <f>IF(Berechnung_QS!L18=0,O18*P18,0)</f>
        <v>0</v>
      </c>
      <c r="R18" s="148"/>
      <c r="S18" s="160">
        <f>Berechnung_QS!L18+Q18</f>
        <v>29592.28856051786</v>
      </c>
    </row>
    <row r="19" spans="1:19" ht="15.75" customHeight="1">
      <c r="A19" s="163" t="s">
        <v>51</v>
      </c>
      <c r="B19" s="164">
        <f>(Bruttoeink!B16*B$11)/1000</f>
        <v>25333.673012699997</v>
      </c>
      <c r="C19" s="164">
        <f>(Bruttoeink!C16*C$11)/1000</f>
        <v>837.13217640000005</v>
      </c>
      <c r="D19" s="165">
        <f>(Bruttoeink!D16*D$11)/1000</f>
        <v>862.59664968749996</v>
      </c>
      <c r="E19" s="164">
        <f>(Bruttoeink!E16*E$11)/1000</f>
        <v>51.997499999999995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1751.7263260875</v>
      </c>
      <c r="J19" s="167">
        <f t="shared" si="1"/>
        <v>0.75</v>
      </c>
      <c r="K19" s="164">
        <f t="shared" si="2"/>
        <v>1313.794744565625</v>
      </c>
      <c r="L19" s="168">
        <f t="shared" si="3"/>
        <v>26647.467757265622</v>
      </c>
      <c r="M19" s="145"/>
      <c r="N19" s="163" t="s">
        <v>51</v>
      </c>
      <c r="O19" s="169">
        <v>1137466.3999999999</v>
      </c>
      <c r="P19" s="170">
        <v>0</v>
      </c>
      <c r="Q19" s="168">
        <f>IF(Berechnung_QS!L19=0,O19*P19,0)</f>
        <v>0</v>
      </c>
      <c r="R19" s="148"/>
      <c r="S19" s="171">
        <f>Berechnung_QS!L19+Q19</f>
        <v>26647.467757265622</v>
      </c>
    </row>
    <row r="20" spans="1:19" ht="15.75" customHeight="1">
      <c r="A20" s="152" t="s">
        <v>52</v>
      </c>
      <c r="B20" s="153">
        <f>(Bruttoeink!B17*B$11)/1000</f>
        <v>33458.139779999998</v>
      </c>
      <c r="C20" s="153">
        <f>(Bruttoeink!C17*C$11)/1000</f>
        <v>39.078780000000002</v>
      </c>
      <c r="D20" s="154">
        <f>(Bruttoeink!D17*D$11)/1000</f>
        <v>1930.3591125</v>
      </c>
      <c r="E20" s="153">
        <f>(Bruttoeink!E17*E$11)/1000</f>
        <v>15.467624999999998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1984.9055175000001</v>
      </c>
      <c r="J20" s="156">
        <f t="shared" si="1"/>
        <v>0.75</v>
      </c>
      <c r="K20" s="153">
        <f t="shared" si="2"/>
        <v>1488.679138125</v>
      </c>
      <c r="L20" s="157">
        <f t="shared" si="3"/>
        <v>34946.818918124998</v>
      </c>
      <c r="M20" s="145"/>
      <c r="N20" s="152" t="s">
        <v>52</v>
      </c>
      <c r="O20" s="158">
        <v>574654.4</v>
      </c>
      <c r="P20" s="159">
        <v>0</v>
      </c>
      <c r="Q20" s="157">
        <f>IF(Berechnung_QS!L20=0,O20*P20,0)</f>
        <v>0</v>
      </c>
      <c r="R20" s="148"/>
      <c r="S20" s="160">
        <f>Berechnung_QS!L20+Q20</f>
        <v>34946.818918124998</v>
      </c>
    </row>
    <row r="21" spans="1:19" ht="15.75" customHeight="1">
      <c r="A21" s="163" t="s">
        <v>53</v>
      </c>
      <c r="B21" s="164">
        <f>(Bruttoeink!B18*B$11)/1000</f>
        <v>200221.21937999999</v>
      </c>
      <c r="C21" s="164">
        <f>(Bruttoeink!C18*C$11)/1000</f>
        <v>11102.0208</v>
      </c>
      <c r="D21" s="165">
        <f>(Bruttoeink!D18*D$11)/1000</f>
        <v>781.11715500000003</v>
      </c>
      <c r="E21" s="164">
        <f>(Bruttoeink!E18*E$11)/1000</f>
        <v>583.11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12466.247955000001</v>
      </c>
      <c r="J21" s="167">
        <f t="shared" si="1"/>
        <v>0.75</v>
      </c>
      <c r="K21" s="164">
        <f t="shared" si="2"/>
        <v>9349.685966250001</v>
      </c>
      <c r="L21" s="168">
        <f t="shared" si="3"/>
        <v>209570.90534624999</v>
      </c>
      <c r="M21" s="145"/>
      <c r="N21" s="163" t="s">
        <v>53</v>
      </c>
      <c r="O21" s="169">
        <v>4597067.0999999996</v>
      </c>
      <c r="P21" s="170">
        <v>0</v>
      </c>
      <c r="Q21" s="168">
        <f>IF(Berechnung_QS!L21=0,O21*P21,0)</f>
        <v>0</v>
      </c>
      <c r="R21" s="148"/>
      <c r="S21" s="171">
        <f>Berechnung_QS!L21+Q21</f>
        <v>209570.90534624999</v>
      </c>
    </row>
    <row r="22" spans="1:19" ht="15.75" customHeight="1">
      <c r="A22" s="152" t="s">
        <v>54</v>
      </c>
      <c r="B22" s="153">
        <f>(Bruttoeink!B19*B$11)/1000</f>
        <v>194951.21677200039</v>
      </c>
      <c r="C22" s="153">
        <f>(Bruttoeink!C19*C$11)/1000</f>
        <v>0</v>
      </c>
      <c r="D22" s="154">
        <f>(Bruttoeink!D19*D$11)/1000</f>
        <v>1103.6371198125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1103.6371198125</v>
      </c>
      <c r="J22" s="156">
        <f t="shared" si="1"/>
        <v>0.75</v>
      </c>
      <c r="K22" s="153">
        <f t="shared" si="2"/>
        <v>827.72783985937508</v>
      </c>
      <c r="L22" s="157">
        <f t="shared" si="3"/>
        <v>195778.94461185977</v>
      </c>
      <c r="M22" s="145"/>
      <c r="N22" s="152" t="s">
        <v>54</v>
      </c>
      <c r="O22" s="158">
        <v>4446248.7</v>
      </c>
      <c r="P22" s="159">
        <v>0</v>
      </c>
      <c r="Q22" s="157">
        <f>IF(Berechnung_QS!L22=0,O22*P22,0)</f>
        <v>0</v>
      </c>
      <c r="R22" s="148"/>
      <c r="S22" s="160">
        <f>Berechnung_QS!L22+Q22</f>
        <v>195778.94461185977</v>
      </c>
    </row>
    <row r="23" spans="1:19" ht="15.75" customHeight="1">
      <c r="A23" s="163" t="s">
        <v>55</v>
      </c>
      <c r="B23" s="164">
        <f>(Bruttoeink!B20*B$11)/1000</f>
        <v>140566.68951</v>
      </c>
      <c r="C23" s="164">
        <f>(Bruttoeink!C20*C$11)/1000</f>
        <v>5182.3793775000004</v>
      </c>
      <c r="D23" s="165">
        <f>(Bruttoeink!D20*D$11)/1000</f>
        <v>378.9383325</v>
      </c>
      <c r="E23" s="164">
        <f>(Bruttoeink!E20*E$11)/1000</f>
        <v>5235.4626910714287</v>
      </c>
      <c r="F23" s="164">
        <f>(Bruttoeink!F20*F$11)/1000</f>
        <v>0</v>
      </c>
      <c r="G23" s="164">
        <f>(Bruttoeink!G20*G$11)/1000</f>
        <v>13005.156535714284</v>
      </c>
      <c r="H23" s="166">
        <f>(Bruttoeink!H20*H$11)/1000</f>
        <v>0</v>
      </c>
      <c r="I23" s="164">
        <f t="shared" si="0"/>
        <v>23801.936936785714</v>
      </c>
      <c r="J23" s="167">
        <f t="shared" si="1"/>
        <v>0.75</v>
      </c>
      <c r="K23" s="164">
        <f t="shared" si="2"/>
        <v>17851.452702589286</v>
      </c>
      <c r="L23" s="168">
        <f t="shared" si="3"/>
        <v>158418.14221258927</v>
      </c>
      <c r="M23" s="145"/>
      <c r="N23" s="163" t="s">
        <v>55</v>
      </c>
      <c r="O23" s="169">
        <v>4492692.9000000004</v>
      </c>
      <c r="P23" s="170">
        <v>0</v>
      </c>
      <c r="Q23" s="168">
        <f>IF(Berechnung_QS!L23=0,O23*P23,0)</f>
        <v>0</v>
      </c>
      <c r="R23" s="148"/>
      <c r="S23" s="171">
        <f>Berechnung_QS!L23+Q23</f>
        <v>158418.14221258927</v>
      </c>
    </row>
    <row r="24" spans="1:19" ht="15.75" customHeight="1">
      <c r="A24" s="152" t="s">
        <v>56</v>
      </c>
      <c r="B24" s="153">
        <f>(Bruttoeink!B21*B$11)/1000</f>
        <v>268560.31276230002</v>
      </c>
      <c r="C24" s="153">
        <f>(Bruttoeink!C21*C$11)/1000</f>
        <v>56229.784182000003</v>
      </c>
      <c r="D24" s="154">
        <f>(Bruttoeink!D21*D$11)/1000</f>
        <v>294.50447276249997</v>
      </c>
      <c r="E24" s="153">
        <f>(Bruttoeink!E21*E$11)/1000</f>
        <v>203678.89127196427</v>
      </c>
      <c r="F24" s="153">
        <f>(Bruttoeink!F21*F$11)/1000</f>
        <v>0</v>
      </c>
      <c r="G24" s="153">
        <f>(Bruttoeink!G21*G$11)/1000</f>
        <v>234074.87974125001</v>
      </c>
      <c r="H24" s="155">
        <f>(Bruttoeink!H21*H$11)/1000</f>
        <v>0</v>
      </c>
      <c r="I24" s="153">
        <f t="shared" si="0"/>
        <v>494278.05966797681</v>
      </c>
      <c r="J24" s="156">
        <f t="shared" si="1"/>
        <v>0.75</v>
      </c>
      <c r="K24" s="153">
        <f t="shared" si="2"/>
        <v>370708.5447509826</v>
      </c>
      <c r="L24" s="157">
        <f t="shared" si="3"/>
        <v>639268.85751328268</v>
      </c>
      <c r="M24" s="145"/>
      <c r="N24" s="152" t="s">
        <v>56</v>
      </c>
      <c r="O24" s="158">
        <v>4503203</v>
      </c>
      <c r="P24" s="159">
        <v>0</v>
      </c>
      <c r="Q24" s="157">
        <f>IF(Berechnung_QS!L24=0,O24*P24,0)</f>
        <v>0</v>
      </c>
      <c r="R24" s="148"/>
      <c r="S24" s="160">
        <f>Berechnung_QS!L24+Q24</f>
        <v>639268.85751328268</v>
      </c>
    </row>
    <row r="25" spans="1:19" ht="15.75" customHeight="1">
      <c r="A25" s="163" t="s">
        <v>57</v>
      </c>
      <c r="B25" s="164">
        <f>(Bruttoeink!B22*B$11)/1000</f>
        <v>147581.93457540002</v>
      </c>
      <c r="C25" s="164">
        <f>(Bruttoeink!C22*C$11)/1000</f>
        <v>32063.802310800002</v>
      </c>
      <c r="D25" s="165">
        <f>(Bruttoeink!D22*D$11)/1000</f>
        <v>496.80727687499996</v>
      </c>
      <c r="E25" s="164">
        <f>(Bruttoeink!E22*E$11)/1000</f>
        <v>96597.334591071412</v>
      </c>
      <c r="F25" s="164">
        <f>(Bruttoeink!F22*F$11)/1000</f>
        <v>0</v>
      </c>
      <c r="G25" s="164">
        <f>(Bruttoeink!G22*G$11)/1000</f>
        <v>152749.82225892856</v>
      </c>
      <c r="H25" s="166">
        <f>(Bruttoeink!H22*H$11)/1000</f>
        <v>0</v>
      </c>
      <c r="I25" s="164">
        <f t="shared" si="0"/>
        <v>281907.76643767499</v>
      </c>
      <c r="J25" s="167">
        <f t="shared" si="1"/>
        <v>0.75</v>
      </c>
      <c r="K25" s="164">
        <f t="shared" si="2"/>
        <v>211430.82482825624</v>
      </c>
      <c r="L25" s="168">
        <f t="shared" si="3"/>
        <v>359012.75940365624</v>
      </c>
      <c r="M25" s="145"/>
      <c r="N25" s="163" t="s">
        <v>57</v>
      </c>
      <c r="O25" s="169">
        <v>6535449.7999999998</v>
      </c>
      <c r="P25" s="170">
        <v>0</v>
      </c>
      <c r="Q25" s="168">
        <f>IF(Berechnung_QS!L25=0,O25*P25,0)</f>
        <v>0</v>
      </c>
      <c r="R25" s="148"/>
      <c r="S25" s="171">
        <f>Berechnung_QS!L25+Q25</f>
        <v>359012.75940365624</v>
      </c>
    </row>
    <row r="26" spans="1:19" ht="15.75" customHeight="1">
      <c r="A26" s="152" t="s">
        <v>58</v>
      </c>
      <c r="B26" s="153">
        <f>(Bruttoeink!B23*B$11)/1000</f>
        <v>105592.88709450001</v>
      </c>
      <c r="C26" s="153">
        <f>(Bruttoeink!C23*C$11)/1000</f>
        <v>6016.7318640000003</v>
      </c>
      <c r="D26" s="154">
        <f>(Bruttoeink!D23*D$11)/1000</f>
        <v>155.33283674999998</v>
      </c>
      <c r="E26" s="153">
        <f>(Bruttoeink!E23*E$11)/1000</f>
        <v>51168.736791964278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57340.801492714279</v>
      </c>
      <c r="J26" s="156">
        <f t="shared" si="1"/>
        <v>0.75</v>
      </c>
      <c r="K26" s="153">
        <f t="shared" si="2"/>
        <v>43005.601119535713</v>
      </c>
      <c r="L26" s="157">
        <f t="shared" si="3"/>
        <v>148598.48821403572</v>
      </c>
      <c r="M26" s="145"/>
      <c r="N26" s="152" t="s">
        <v>58</v>
      </c>
      <c r="O26" s="158">
        <v>1269588.3</v>
      </c>
      <c r="P26" s="159">
        <v>0</v>
      </c>
      <c r="Q26" s="157">
        <f>IF(Berechnung_QS!L26=0,O26*P26,0)</f>
        <v>0</v>
      </c>
      <c r="R26" s="148"/>
      <c r="S26" s="160">
        <f>Berechnung_QS!L26+Q26</f>
        <v>148598.48821403572</v>
      </c>
    </row>
    <row r="27" spans="1:19" ht="15.75" customHeight="1">
      <c r="A27" s="163" t="s">
        <v>59</v>
      </c>
      <c r="B27" s="164">
        <f>(Bruttoeink!B24*B$11)/1000</f>
        <v>35996.955540000003</v>
      </c>
      <c r="C27" s="164">
        <f>(Bruttoeink!C24*C$11)/1000</f>
        <v>1325.0741400000002</v>
      </c>
      <c r="D27" s="165">
        <f>(Bruttoeink!D24*D$11)/1000</f>
        <v>4150.9847925000004</v>
      </c>
      <c r="E27" s="164">
        <f>(Bruttoeink!E24*E$11)/1000</f>
        <v>707.94851785714286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6184.0074503571432</v>
      </c>
      <c r="J27" s="167">
        <f t="shared" si="1"/>
        <v>0.75</v>
      </c>
      <c r="K27" s="164">
        <f t="shared" si="2"/>
        <v>4638.0055877678569</v>
      </c>
      <c r="L27" s="168">
        <f t="shared" si="3"/>
        <v>40634.961127767863</v>
      </c>
      <c r="M27" s="145"/>
      <c r="N27" s="163" t="s">
        <v>59</v>
      </c>
      <c r="O27" s="169">
        <v>951184.3</v>
      </c>
      <c r="P27" s="170">
        <v>0</v>
      </c>
      <c r="Q27" s="168">
        <f>IF(Berechnung_QS!L27=0,O27*P27,0)</f>
        <v>0</v>
      </c>
      <c r="R27" s="148"/>
      <c r="S27" s="171">
        <f>Berechnung_QS!L27+Q27</f>
        <v>40634.961127767863</v>
      </c>
    </row>
    <row r="28" spans="1:19" ht="15.75" customHeight="1">
      <c r="A28" s="152" t="s">
        <v>60</v>
      </c>
      <c r="B28" s="153">
        <f>(Bruttoeink!B25*B$11)/1000</f>
        <v>6633.1053204</v>
      </c>
      <c r="C28" s="153">
        <f>(Bruttoeink!C25*C$11)/1000</f>
        <v>776.00937180000005</v>
      </c>
      <c r="D28" s="154">
        <f>(Bruttoeink!D25*D$11)/1000</f>
        <v>1222.35934275</v>
      </c>
      <c r="E28" s="153">
        <f>(Bruttoeink!E25*E$11)/1000</f>
        <v>102.19081339285712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2100.5595279428571</v>
      </c>
      <c r="J28" s="156">
        <f t="shared" si="1"/>
        <v>0.75</v>
      </c>
      <c r="K28" s="153">
        <f t="shared" si="2"/>
        <v>1575.4196459571428</v>
      </c>
      <c r="L28" s="157">
        <f t="shared" si="3"/>
        <v>8208.5249663571431</v>
      </c>
      <c r="M28" s="145"/>
      <c r="N28" s="152" t="s">
        <v>60</v>
      </c>
      <c r="O28" s="158">
        <v>273126.40000000002</v>
      </c>
      <c r="P28" s="159">
        <v>0</v>
      </c>
      <c r="Q28" s="157">
        <f>IF(Berechnung_QS!L28=0,O28*P28,0)</f>
        <v>0</v>
      </c>
      <c r="R28" s="148"/>
      <c r="S28" s="160">
        <f>Berechnung_QS!L28+Q28</f>
        <v>8208.5249663571431</v>
      </c>
    </row>
    <row r="29" spans="1:19" ht="15.75" customHeight="1">
      <c r="A29" s="163" t="s">
        <v>61</v>
      </c>
      <c r="B29" s="164">
        <f>(Bruttoeink!B26*B$11)/1000</f>
        <v>332474.55294690002</v>
      </c>
      <c r="C29" s="164">
        <f>(Bruttoeink!C26*C$11)/1000</f>
        <v>22905.113189400003</v>
      </c>
      <c r="D29" s="165">
        <f>(Bruttoeink!D26*D$11)/1000</f>
        <v>145412.91380070001</v>
      </c>
      <c r="E29" s="164">
        <f>(Bruttoeink!E26*E$11)/1000</f>
        <v>10598.97668142857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178917.0036715286</v>
      </c>
      <c r="J29" s="167">
        <f t="shared" si="1"/>
        <v>0.75</v>
      </c>
      <c r="K29" s="164">
        <f t="shared" si="2"/>
        <v>134187.75275364646</v>
      </c>
      <c r="L29" s="168">
        <f t="shared" si="3"/>
        <v>466662.30570054648</v>
      </c>
      <c r="M29" s="145"/>
      <c r="N29" s="163" t="s">
        <v>61</v>
      </c>
      <c r="O29" s="169">
        <v>7540608.5</v>
      </c>
      <c r="P29" s="170">
        <v>0</v>
      </c>
      <c r="Q29" s="168">
        <f>IF(Berechnung_QS!L29=0,O29*P29,0)</f>
        <v>0</v>
      </c>
      <c r="R29" s="148"/>
      <c r="S29" s="171">
        <f>Berechnung_QS!L29+Q29</f>
        <v>466662.30570054648</v>
      </c>
    </row>
    <row r="30" spans="1:19" ht="15.75" customHeight="1">
      <c r="A30" s="152" t="s">
        <v>62</v>
      </c>
      <c r="B30" s="153">
        <f>(Bruttoeink!B27*B$11)/1000</f>
        <v>285115.10547000001</v>
      </c>
      <c r="C30" s="153">
        <f>(Bruttoeink!C27*C$11)/1000</f>
        <v>93006.808829999994</v>
      </c>
      <c r="D30" s="154">
        <f>(Bruttoeink!D27*D$11)/1000</f>
        <v>7175.6671349999997</v>
      </c>
      <c r="E30" s="153">
        <f>(Bruttoeink!E27*E$11)/1000</f>
        <v>0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16226.317926</v>
      </c>
      <c r="I30" s="153">
        <f t="shared" si="0"/>
        <v>116408.79389099999</v>
      </c>
      <c r="J30" s="156">
        <f t="shared" si="1"/>
        <v>0.75</v>
      </c>
      <c r="K30" s="153">
        <f t="shared" si="2"/>
        <v>87306.595418249999</v>
      </c>
      <c r="L30" s="157">
        <f t="shared" si="3"/>
        <v>372421.70088825002</v>
      </c>
      <c r="M30" s="145"/>
      <c r="N30" s="152" t="s">
        <v>62</v>
      </c>
      <c r="O30" s="158">
        <v>3424468</v>
      </c>
      <c r="P30" s="159">
        <v>0</v>
      </c>
      <c r="Q30" s="157">
        <f>IF(Berechnung_QS!L30=0,O30*P30,0)</f>
        <v>0</v>
      </c>
      <c r="R30" s="148"/>
      <c r="S30" s="160">
        <f>Berechnung_QS!L30+Q30</f>
        <v>372421.70088825002</v>
      </c>
    </row>
    <row r="31" spans="1:19" ht="15.75" customHeight="1">
      <c r="A31" s="163" t="s">
        <v>63</v>
      </c>
      <c r="B31" s="164">
        <f>(Bruttoeink!B28*B$11)/1000</f>
        <v>403575.08334000001</v>
      </c>
      <c r="C31" s="164">
        <f>(Bruttoeink!C28*C$11)/1000</f>
        <v>87722.722229999999</v>
      </c>
      <c r="D31" s="165">
        <f>(Bruttoeink!D28*D$11)/1000</f>
        <v>636.79365749999999</v>
      </c>
      <c r="E31" s="164">
        <f>(Bruttoeink!E28*E$11)/1000</f>
        <v>121610.93930357142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209970.45519107144</v>
      </c>
      <c r="J31" s="167">
        <f t="shared" si="1"/>
        <v>0.75</v>
      </c>
      <c r="K31" s="164">
        <f t="shared" si="2"/>
        <v>157477.84139330359</v>
      </c>
      <c r="L31" s="168">
        <f t="shared" si="3"/>
        <v>561052.9247333036</v>
      </c>
      <c r="M31" s="145"/>
      <c r="N31" s="163" t="s">
        <v>63</v>
      </c>
      <c r="O31" s="169">
        <v>11673644.699999999</v>
      </c>
      <c r="P31" s="170">
        <v>0</v>
      </c>
      <c r="Q31" s="168">
        <f>IF(Berechnung_QS!L31=0,O31*P31,0)</f>
        <v>0</v>
      </c>
      <c r="R31" s="148"/>
      <c r="S31" s="171">
        <f>Berechnung_QS!L31+Q31</f>
        <v>561052.9247333036</v>
      </c>
    </row>
    <row r="32" spans="1:19" ht="15.75" customHeight="1">
      <c r="A32" s="152" t="s">
        <v>64</v>
      </c>
      <c r="B32" s="153">
        <f>(Bruttoeink!B29*B$11)/1000</f>
        <v>203474.2623186</v>
      </c>
      <c r="C32" s="153">
        <f>(Bruttoeink!C29*C$11)/1000</f>
        <v>15502.871662199999</v>
      </c>
      <c r="D32" s="154">
        <f>(Bruttoeink!D29*D$11)/1000</f>
        <v>5144.1749506874994</v>
      </c>
      <c r="E32" s="153">
        <f>(Bruttoeink!E29*E$11)/1000</f>
        <v>38679.648753214286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59326.695366101783</v>
      </c>
      <c r="J32" s="156">
        <f t="shared" si="1"/>
        <v>0.75</v>
      </c>
      <c r="K32" s="153">
        <f t="shared" si="2"/>
        <v>44495.021524576339</v>
      </c>
      <c r="L32" s="157">
        <f t="shared" si="3"/>
        <v>247969.28384317632</v>
      </c>
      <c r="M32" s="145"/>
      <c r="N32" s="152" t="s">
        <v>64</v>
      </c>
      <c r="O32" s="158">
        <v>4161203.3</v>
      </c>
      <c r="P32" s="159">
        <v>0</v>
      </c>
      <c r="Q32" s="157">
        <f>IF(Berechnung_QS!L32=0,O32*P32,0)</f>
        <v>0</v>
      </c>
      <c r="R32" s="148"/>
      <c r="S32" s="160">
        <f>Berechnung_QS!L32+Q32</f>
        <v>247969.28384317632</v>
      </c>
    </row>
    <row r="33" spans="1:19" ht="15.75" customHeight="1">
      <c r="A33" s="163" t="s">
        <v>65</v>
      </c>
      <c r="B33" s="164">
        <f>(Bruttoeink!B30*B$11)/1000</f>
        <v>274782.71574000001</v>
      </c>
      <c r="C33" s="164">
        <f>(Bruttoeink!C30*C$11)/1000</f>
        <v>157090.27268999998</v>
      </c>
      <c r="D33" s="165">
        <f>(Bruttoeink!D30*D$11)/1000</f>
        <v>5144.98018125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574030.68395400001</v>
      </c>
      <c r="I33" s="164">
        <f t="shared" si="0"/>
        <v>736265.93682525004</v>
      </c>
      <c r="J33" s="167">
        <f t="shared" si="1"/>
        <v>0.75</v>
      </c>
      <c r="K33" s="164">
        <f t="shared" si="2"/>
        <v>552199.45261893747</v>
      </c>
      <c r="L33" s="168">
        <f t="shared" si="3"/>
        <v>826982.16835893749</v>
      </c>
      <c r="M33" s="145"/>
      <c r="N33" s="163" t="s">
        <v>65</v>
      </c>
      <c r="O33" s="169">
        <v>6353705.5999999996</v>
      </c>
      <c r="P33" s="170">
        <v>0</v>
      </c>
      <c r="Q33" s="168">
        <f>IF(Berechnung_QS!L33=0,O33*P33,0)</f>
        <v>0</v>
      </c>
      <c r="R33" s="148"/>
      <c r="S33" s="171">
        <f>Berechnung_QS!L33+Q33</f>
        <v>826982.16835893749</v>
      </c>
    </row>
    <row r="34" spans="1:19" ht="15.75" customHeight="1">
      <c r="A34" s="152" t="s">
        <v>66</v>
      </c>
      <c r="B34" s="153">
        <f>(Bruttoeink!B31*B$11)/1000</f>
        <v>993817.6287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251855.97711428569</v>
      </c>
      <c r="H34" s="155">
        <f>(Bruttoeink!H31*H$11)/1000</f>
        <v>0</v>
      </c>
      <c r="I34" s="153">
        <f t="shared" si="0"/>
        <v>251855.97711428569</v>
      </c>
      <c r="J34" s="156">
        <f t="shared" si="1"/>
        <v>0.75</v>
      </c>
      <c r="K34" s="153">
        <f t="shared" si="2"/>
        <v>188891.98283571427</v>
      </c>
      <c r="L34" s="157">
        <f t="shared" si="3"/>
        <v>1182709.6115357142</v>
      </c>
      <c r="M34" s="145"/>
      <c r="N34" s="152" t="s">
        <v>66</v>
      </c>
      <c r="O34" s="158">
        <v>15487331.1</v>
      </c>
      <c r="P34" s="159">
        <v>0</v>
      </c>
      <c r="Q34" s="157">
        <f>IF(Berechnung_QS!L34=0,O34*P34,0)</f>
        <v>0</v>
      </c>
      <c r="R34" s="148"/>
      <c r="S34" s="160">
        <f>Berechnung_QS!L34+Q34</f>
        <v>1182709.6115357142</v>
      </c>
    </row>
    <row r="35" spans="1:19" ht="15.75" customHeight="1">
      <c r="A35" s="163" t="s">
        <v>67</v>
      </c>
      <c r="B35" s="164">
        <f>(Bruttoeink!B32*B$11)/1000</f>
        <v>365854.95804</v>
      </c>
      <c r="C35" s="164">
        <f>(Bruttoeink!C32*C$11)/1000</f>
        <v>3252.2985300000005</v>
      </c>
      <c r="D35" s="165">
        <f>(Bruttoeink!D32*D$11)/1000</f>
        <v>0</v>
      </c>
      <c r="E35" s="164">
        <f>(Bruttoeink!E32*E$11)/1000</f>
        <v>58.296053571428565</v>
      </c>
      <c r="F35" s="164">
        <f>(Bruttoeink!F32*F$11)/1000</f>
        <v>0</v>
      </c>
      <c r="G35" s="164">
        <f>(Bruttoeink!G32*G$11)/1000</f>
        <v>10815.368624999997</v>
      </c>
      <c r="H35" s="166">
        <f>(Bruttoeink!H32*H$11)/1000</f>
        <v>11920.851071999999</v>
      </c>
      <c r="I35" s="164">
        <f t="shared" si="0"/>
        <v>26046.814280571423</v>
      </c>
      <c r="J35" s="167">
        <f t="shared" si="1"/>
        <v>0.75</v>
      </c>
      <c r="K35" s="164">
        <f t="shared" si="2"/>
        <v>19535.110710428569</v>
      </c>
      <c r="L35" s="168">
        <f t="shared" si="3"/>
        <v>385390.06875042856</v>
      </c>
      <c r="M35" s="145"/>
      <c r="N35" s="163" t="s">
        <v>67</v>
      </c>
      <c r="O35" s="169">
        <v>4776054.3</v>
      </c>
      <c r="P35" s="170">
        <v>0</v>
      </c>
      <c r="Q35" s="168">
        <f>IF(Berechnung_QS!L35=0,O35*P35,0)</f>
        <v>0</v>
      </c>
      <c r="R35" s="148"/>
      <c r="S35" s="171">
        <f>Berechnung_QS!L35+Q35</f>
        <v>385390.06875042856</v>
      </c>
    </row>
    <row r="36" spans="1:19" ht="15.75" customHeight="1">
      <c r="A36" s="152" t="s">
        <v>68</v>
      </c>
      <c r="B36" s="153">
        <f>(Bruttoeink!B33*B$11)/1000</f>
        <v>125716.25079000001</v>
      </c>
      <c r="C36" s="153">
        <f>(Bruttoeink!C33*C$11)/1000</f>
        <v>5406.2474699999993</v>
      </c>
      <c r="D36" s="154">
        <f>(Bruttoeink!D33*D$11)/1000</f>
        <v>3.195465</v>
      </c>
      <c r="E36" s="153">
        <f>(Bruttoeink!E33*E$11)/1000</f>
        <v>23.087249999999997</v>
      </c>
      <c r="F36" s="153">
        <f>(Bruttoeink!F33*F$11)/1000</f>
        <v>0</v>
      </c>
      <c r="G36" s="153">
        <f>(Bruttoeink!G33*G$11)/1000</f>
        <v>114817.67051785713</v>
      </c>
      <c r="H36" s="155">
        <f>(Bruttoeink!H33*H$11)/1000</f>
        <v>0</v>
      </c>
      <c r="I36" s="153">
        <f t="shared" si="0"/>
        <v>120250.20070285712</v>
      </c>
      <c r="J36" s="156">
        <f t="shared" si="1"/>
        <v>0.75</v>
      </c>
      <c r="K36" s="153">
        <f t="shared" si="2"/>
        <v>90187.650527142847</v>
      </c>
      <c r="L36" s="157">
        <f t="shared" si="3"/>
        <v>215903.90131714285</v>
      </c>
      <c r="M36" s="145"/>
      <c r="N36" s="152" t="s">
        <v>68</v>
      </c>
      <c r="O36" s="158">
        <v>2734328</v>
      </c>
      <c r="P36" s="159">
        <v>0</v>
      </c>
      <c r="Q36" s="157">
        <f>IF(Berechnung_QS!L36=0,O36*P36,0)</f>
        <v>0</v>
      </c>
      <c r="R36" s="148"/>
      <c r="S36" s="160">
        <f>Berechnung_QS!L36+Q36</f>
        <v>215903.90131714285</v>
      </c>
    </row>
    <row r="37" spans="1:19" ht="15.75" customHeight="1">
      <c r="A37" s="163" t="s">
        <v>69</v>
      </c>
      <c r="B37" s="164">
        <f>(Bruttoeink!B34*B$11)/1000</f>
        <v>727234.07445000007</v>
      </c>
      <c r="C37" s="164">
        <f>(Bruttoeink!C34*C$11)/1000</f>
        <v>104314.86468000001</v>
      </c>
      <c r="D37" s="165">
        <f>(Bruttoeink!D34*D$11)/1000</f>
        <v>377.70198375000001</v>
      </c>
      <c r="E37" s="164">
        <f>(Bruttoeink!E34*E$11)/1000</f>
        <v>0</v>
      </c>
      <c r="F37" s="164">
        <f>(Bruttoeink!F34*F$11)/1000</f>
        <v>1792264.7562150001</v>
      </c>
      <c r="G37" s="164">
        <f>(Bruttoeink!G34*G$11)/1000</f>
        <v>0</v>
      </c>
      <c r="H37" s="166">
        <f>(Bruttoeink!H34*H$11)/1000</f>
        <v>0</v>
      </c>
      <c r="I37" s="164">
        <f t="shared" si="0"/>
        <v>1896957.32287875</v>
      </c>
      <c r="J37" s="167">
        <f t="shared" si="1"/>
        <v>0.75</v>
      </c>
      <c r="K37" s="164">
        <f t="shared" si="2"/>
        <v>1422717.9921590625</v>
      </c>
      <c r="L37" s="168">
        <f t="shared" si="3"/>
        <v>2149952.0666090627</v>
      </c>
      <c r="M37" s="145"/>
      <c r="N37" s="163" t="s">
        <v>69</v>
      </c>
      <c r="O37" s="169">
        <v>12629665.199999999</v>
      </c>
      <c r="P37" s="170">
        <v>0</v>
      </c>
      <c r="Q37" s="168">
        <f>IF(Berechnung_QS!L37=0,O37*P37,0)</f>
        <v>0</v>
      </c>
      <c r="R37" s="148"/>
      <c r="S37" s="171">
        <f>Berechnung_QS!L37+Q37</f>
        <v>2149952.0666090627</v>
      </c>
    </row>
    <row r="38" spans="1:19" ht="15.75" customHeight="1">
      <c r="A38" s="172" t="s">
        <v>70</v>
      </c>
      <c r="B38" s="173">
        <f>(Bruttoeink!B35*B$11)/1000</f>
        <v>26717.352480000001</v>
      </c>
      <c r="C38" s="173">
        <f>(Bruttoeink!C35*C$11)/1000</f>
        <v>2305.99044</v>
      </c>
      <c r="D38" s="174">
        <f>(Bruttoeink!D35*D$11)/1000</f>
        <v>0</v>
      </c>
      <c r="E38" s="173">
        <f>(Bruttoeink!E35*E$11)/1000</f>
        <v>74.72233928571427</v>
      </c>
      <c r="F38" s="173">
        <f>(Bruttoeink!F35*F$11)/1000</f>
        <v>0</v>
      </c>
      <c r="G38" s="173">
        <f>(Bruttoeink!G35*G$11)/1000</f>
        <v>60646.630178571424</v>
      </c>
      <c r="H38" s="175">
        <f>(Bruttoeink!H35*H$11)/1000</f>
        <v>0</v>
      </c>
      <c r="I38" s="173">
        <f t="shared" si="0"/>
        <v>63027.342957857138</v>
      </c>
      <c r="J38" s="176">
        <f t="shared" si="1"/>
        <v>0.75</v>
      </c>
      <c r="K38" s="173">
        <f t="shared" si="2"/>
        <v>47270.507218392857</v>
      </c>
      <c r="L38" s="177">
        <f t="shared" si="3"/>
        <v>73987.859698392858</v>
      </c>
      <c r="M38" s="145"/>
      <c r="N38" s="172" t="s">
        <v>70</v>
      </c>
      <c r="O38" s="178">
        <v>924737</v>
      </c>
      <c r="P38" s="179">
        <v>0</v>
      </c>
      <c r="Q38" s="177">
        <f>IF(Berechnung_QS!L38=0,O38*P38,0)</f>
        <v>0</v>
      </c>
      <c r="R38" s="148"/>
      <c r="S38" s="180">
        <f>Berechnung_QS!L38+Q38</f>
        <v>73987.859698392858</v>
      </c>
    </row>
    <row r="39" spans="1:19" ht="15.75" customHeight="1">
      <c r="A39" s="181" t="s">
        <v>71</v>
      </c>
      <c r="B39" s="182">
        <f t="shared" ref="B39:I39" si="4">SUM(B13:B38)</f>
        <v>7629670.1202461999</v>
      </c>
      <c r="C39" s="182">
        <f t="shared" si="4"/>
        <v>688692.18922529998</v>
      </c>
      <c r="D39" s="183">
        <f t="shared" si="4"/>
        <v>176534.80929971253</v>
      </c>
      <c r="E39" s="182">
        <f t="shared" si="4"/>
        <v>606856.0099451784</v>
      </c>
      <c r="F39" s="182">
        <f t="shared" si="4"/>
        <v>1792264.7562150001</v>
      </c>
      <c r="G39" s="182">
        <f t="shared" si="4"/>
        <v>854287.14125732146</v>
      </c>
      <c r="H39" s="184">
        <f t="shared" si="4"/>
        <v>602177.85295199999</v>
      </c>
      <c r="I39" s="182">
        <f t="shared" si="4"/>
        <v>4720812.7588945134</v>
      </c>
      <c r="J39" s="185">
        <v>0.75</v>
      </c>
      <c r="K39" s="182">
        <f t="shared" si="2"/>
        <v>3540609.5691708848</v>
      </c>
      <c r="L39" s="186">
        <f t="shared" si="3"/>
        <v>11170279.689417085</v>
      </c>
      <c r="M39" s="145"/>
      <c r="N39" s="181" t="s">
        <v>71</v>
      </c>
      <c r="O39" s="187">
        <f>SUM(O13:O38)</f>
        <v>162652358.79999998</v>
      </c>
      <c r="P39" s="188"/>
      <c r="Q39" s="186">
        <f>SUM(Q13:Q38)</f>
        <v>0</v>
      </c>
      <c r="R39" s="148"/>
      <c r="S39" s="189">
        <f>SUM(S13:S38)</f>
        <v>11170279.689417083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2011-12-23T16:58:01Z</cp:lastPrinted>
  <dcterms:created xsi:type="dcterms:W3CDTF">2006-06-26T16:01:42Z</dcterms:created>
  <dcterms:modified xsi:type="dcterms:W3CDTF">2014-06-23T13:48:20Z</dcterms:modified>
</cp:coreProperties>
</file>